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6195" windowWidth="20730" windowHeight="6135" tabRatio="792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6 B" sheetId="241" r:id="rId27"/>
    <sheet name="WP B.6 F" sheetId="242" r:id="rId28"/>
    <sheet name="Cover C" sheetId="211" r:id="rId29"/>
    <sheet name="C.1" sheetId="47" r:id="rId30"/>
    <sheet name="C.2" sheetId="46" r:id="rId31"/>
    <sheet name="C.2.1 B" sheetId="45" r:id="rId32"/>
    <sheet name="C.2.1 F" sheetId="79" r:id="rId33"/>
    <sheet name="C.2.2 B 09" sheetId="44" r:id="rId34"/>
    <sheet name="C.2.2 B 02" sheetId="190" r:id="rId35"/>
    <sheet name="C.2.2 B 12" sheetId="193" r:id="rId36"/>
    <sheet name="C.2.2 B 91" sheetId="192" r:id="rId37"/>
    <sheet name="C.2.2-F 09" sheetId="222" r:id="rId38"/>
    <sheet name="C.2.2-F 02" sheetId="226" r:id="rId39"/>
    <sheet name="C.2.2-F 12" sheetId="227" r:id="rId40"/>
    <sheet name="C.2.2-F 91" sheetId="228" r:id="rId41"/>
    <sheet name="C.2.3 B" sheetId="171" r:id="rId42"/>
    <sheet name="C.2.3 F" sheetId="238" r:id="rId43"/>
    <sheet name="Cover D" sheetId="221" r:id="rId44"/>
    <sheet name="D.1" sheetId="51" r:id="rId45"/>
    <sheet name="D.2.1" sheetId="50" r:id="rId46"/>
    <sheet name="D.2.2" sheetId="49" r:id="rId47"/>
    <sheet name="D.2.3" sheetId="48" r:id="rId48"/>
    <sheet name="Cover E" sheetId="235" r:id="rId49"/>
    <sheet name="E" sheetId="84" r:id="rId50"/>
    <sheet name="Cover F" sheetId="245" r:id="rId51"/>
    <sheet name="F.1" sheetId="248" r:id="rId52"/>
    <sheet name="F.2.1" sheetId="107" r:id="rId53"/>
    <sheet name="F.2.2" sheetId="104" r:id="rId54"/>
    <sheet name="F.2.3" sheetId="105" r:id="rId55"/>
    <sheet name="F.3" sheetId="100" r:id="rId56"/>
    <sheet name="F.4" sheetId="247" r:id="rId57"/>
    <sheet name="F.5" sheetId="102" r:id="rId58"/>
    <sheet name="F.6" sheetId="106" r:id="rId59"/>
    <sheet name="F.7" sheetId="103" r:id="rId60"/>
    <sheet name="F.8" sheetId="239" r:id="rId61"/>
    <sheet name="F.9" sheetId="249" r:id="rId62"/>
    <sheet name="F.10" sheetId="250" r:id="rId63"/>
    <sheet name="G.1" sheetId="36" r:id="rId64"/>
    <sheet name="G.2" sheetId="35" r:id="rId65"/>
    <sheet name="G.3" sheetId="34" r:id="rId66"/>
    <sheet name="H.1" sheetId="37" r:id="rId67"/>
    <sheet name="I.1" sheetId="42" r:id="rId68"/>
    <sheet name="I.2" sheetId="41" r:id="rId69"/>
    <sheet name="I.3" sheetId="39" r:id="rId70"/>
    <sheet name="J-1 Base" sheetId="4" r:id="rId71"/>
    <sheet name="J-2 B" sheetId="5" r:id="rId72"/>
    <sheet name="J-3 B" sheetId="8" r:id="rId73"/>
    <sheet name="J-4" sheetId="9" r:id="rId74"/>
    <sheet name="J.1" sheetId="202" r:id="rId75"/>
    <sheet name="J-1 F" sheetId="95" r:id="rId76"/>
    <sheet name="J-2 F" sheetId="98" r:id="rId77"/>
    <sheet name="J-3 F" sheetId="99" r:id="rId78"/>
    <sheet name="K" sheetId="10" r:id="rId79"/>
  </sheets>
  <externalReferences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p">A.1!$B$40:$B$41</definedName>
    <definedName name="_Div012" localSheetId="62">#REF!</definedName>
    <definedName name="_Div012" localSheetId="61">#REF!</definedName>
    <definedName name="_Div012">#REF!</definedName>
    <definedName name="_Div02" localSheetId="62">#REF!</definedName>
    <definedName name="_Div02" localSheetId="61">#REF!</definedName>
    <definedName name="_Div02">#REF!</definedName>
    <definedName name="_Div091" localSheetId="62">#REF!</definedName>
    <definedName name="_Div091" localSheetId="61">#REF!</definedName>
    <definedName name="_Div091">#REF!</definedName>
    <definedName name="_Regression_Int" localSheetId="3" hidden="1">1</definedName>
    <definedName name="Case_No._2006_00464" localSheetId="62">#REF!</definedName>
    <definedName name="Case_No._2006_00464" localSheetId="61">#REF!</definedName>
    <definedName name="Case_No._2006_00464">#REF!</definedName>
    <definedName name="csDesignMode">1</definedName>
    <definedName name="Div012Cap" localSheetId="62">#REF!</definedName>
    <definedName name="Div012Cap" localSheetId="61">#REF!</definedName>
    <definedName name="Div012Cap">#REF!</definedName>
    <definedName name="Div02Cap" localSheetId="62">#REF!</definedName>
    <definedName name="Div02Cap" localSheetId="61">#REF!</definedName>
    <definedName name="Div02Cap">#REF!</definedName>
    <definedName name="Div091Cap" localSheetId="62">#REF!</definedName>
    <definedName name="Div091Cap" localSheetId="61">#REF!</definedName>
    <definedName name="Div091Cap">#REF!</definedName>
    <definedName name="Div09cap" localSheetId="62">#REF!</definedName>
    <definedName name="Div09cap" localSheetId="61">#REF!</definedName>
    <definedName name="Div09cap">#REF!</definedName>
    <definedName name="EssOptions" localSheetId="52">"A1100000000030000000001100020_0000"</definedName>
    <definedName name="EssOptions" localSheetId="55">"A1100000000030000000001100020_0000"</definedName>
    <definedName name="kytax" localSheetId="62">#REF!</definedName>
    <definedName name="kytax" localSheetId="61">#REF!</definedName>
    <definedName name="kytax">#REF!</definedName>
    <definedName name="ltdrate" localSheetId="62">#REF!</definedName>
    <definedName name="ltdrate" localSheetId="61">#REF!</definedName>
    <definedName name="ltdrate">#REF!</definedName>
    <definedName name="_xlnm.Print_Area" localSheetId="3">A.1!$A$1:$G$37</definedName>
    <definedName name="_xlnm.Print_Area" localSheetId="1">Allocation!$A$1:$I$29</definedName>
    <definedName name="_xlnm.Print_Area" localSheetId="5">'B.1 B'!$A$1:$F$31</definedName>
    <definedName name="_xlnm.Print_Area" localSheetId="6">'B.1 F '!$A$1:$F$31</definedName>
    <definedName name="_xlnm.Print_Area" localSheetId="7">'B.2 B'!$A$1:$N$233</definedName>
    <definedName name="_xlnm.Print_Area" localSheetId="8">'B.2 F'!$A$1:$N$233</definedName>
    <definedName name="_xlnm.Print_Area" localSheetId="9">'B.3 B'!$A$1:$N$230</definedName>
    <definedName name="_xlnm.Print_Area" localSheetId="10">'B.3 F'!$A$1:$N$230</definedName>
    <definedName name="_xlnm.Print_Area" localSheetId="11">'B.3.1 F'!$A$1:$H$228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29">C.1!$A$1:$J$31</definedName>
    <definedName name="_xlnm.Print_Area" localSheetId="30">C.2!$A$1:$O$34</definedName>
    <definedName name="_xlnm.Print_Area" localSheetId="31">'C.2.1 B'!$A$1:$D$181</definedName>
    <definedName name="_xlnm.Print_Area" localSheetId="32">'C.2.1 F'!$A$1:$D$178</definedName>
    <definedName name="_xlnm.Print_Area" localSheetId="34">'C.2.2 B 02'!$A$1:$P$43</definedName>
    <definedName name="_xlnm.Print_Area" localSheetId="33">'C.2.2 B 09'!$A$1:$P$113</definedName>
    <definedName name="_xlnm.Print_Area" localSheetId="35">'C.2.2 B 12'!$A$1:$P$37</definedName>
    <definedName name="_xlnm.Print_Area" localSheetId="36">'C.2.2 B 91'!$A$1:$P$57</definedName>
    <definedName name="_xlnm.Print_Area" localSheetId="38">'C.2.2-F 02'!$A$1:$P$41</definedName>
    <definedName name="_xlnm.Print_Area" localSheetId="37">'C.2.2-F 09'!$A$1:$P$112</definedName>
    <definedName name="_xlnm.Print_Area" localSheetId="39">'C.2.2-F 12'!$A$1:$P$37</definedName>
    <definedName name="_xlnm.Print_Area" localSheetId="40">'C.2.2-F 91'!$A$1:$P$55</definedName>
    <definedName name="_xlnm.Print_Area" localSheetId="41">'C.2.3 B'!$A$1:$O$67</definedName>
    <definedName name="_xlnm.Print_Area" localSheetId="42">'C.2.3 F'!$A$1:$O$68</definedName>
    <definedName name="_xlnm.Print_Area" localSheetId="2">'Cover A'!$A$1:$D$21</definedName>
    <definedName name="_xlnm.Print_Area" localSheetId="4">'Cover B'!$A$1:$C$26</definedName>
    <definedName name="_xlnm.Print_Area" localSheetId="28">'Cover C'!$A$1:$C$22</definedName>
    <definedName name="_xlnm.Print_Area" localSheetId="43">'Cover D'!$A$1:$D$25</definedName>
    <definedName name="_xlnm.Print_Area" localSheetId="48">'Cover E'!$A$1:$C$22</definedName>
    <definedName name="_xlnm.Print_Area" localSheetId="50">'Cover F'!$A$1:$C$30</definedName>
    <definedName name="_xlnm.Print_Area" localSheetId="44">D.1!$A$1:$P$172</definedName>
    <definedName name="_xlnm.Print_Area" localSheetId="45">D.2.1!$A$1:$D$71</definedName>
    <definedName name="_xlnm.Print_Area" localSheetId="46">D.2.2!$A$1:$D$45</definedName>
    <definedName name="_xlnm.Print_Area" localSheetId="47">D.2.3!$A$1:$D$23</definedName>
    <definedName name="_xlnm.Print_Area" localSheetId="49">E!$A$1:$H$37</definedName>
    <definedName name="_xlnm.Print_Area" localSheetId="51">F.1!$A$1:$G$135</definedName>
    <definedName name="_xlnm.Print_Area" localSheetId="62">F.10!$A$1:$F$41</definedName>
    <definedName name="_xlnm.Print_Area" localSheetId="52">F.2.1!$A$1:$F$40</definedName>
    <definedName name="_xlnm.Print_Area" localSheetId="53">F.2.2!$A$1:$J$28</definedName>
    <definedName name="_xlnm.Print_Area" localSheetId="54">F.2.3!$A$1:$J$37</definedName>
    <definedName name="_xlnm.Print_Area" localSheetId="55">F.3!$A$1:$J$78</definedName>
    <definedName name="_xlnm.Print_Area" localSheetId="56">F.4!$A$1:$K$32</definedName>
    <definedName name="_xlnm.Print_Area" localSheetId="57">F.5!$A$1:$I$39</definedName>
    <definedName name="_xlnm.Print_Area" localSheetId="58">F.6!$A$1:$N$32</definedName>
    <definedName name="_xlnm.Print_Area" localSheetId="59">F.7!$A$1:$I$51</definedName>
    <definedName name="_xlnm.Print_Area" localSheetId="60">F.8!$A$1:$J$28</definedName>
    <definedName name="_xlnm.Print_Area" localSheetId="61">F.9!$A$1:$G$34</definedName>
    <definedName name="_xlnm.Print_Area" localSheetId="63">G.1!$A$1:$M$34</definedName>
    <definedName name="_xlnm.Print_Area" localSheetId="64">G.2!$A$1:$P$55</definedName>
    <definedName name="_xlnm.Print_Area" localSheetId="65">G.3!$A$1:$K$46</definedName>
    <definedName name="_xlnm.Print_Area" localSheetId="66">H.1!$A$1:$E$36</definedName>
    <definedName name="_xlnm.Print_Area" localSheetId="67">I.1!$A$1:$P$47</definedName>
    <definedName name="_xlnm.Print_Area" localSheetId="68">I.2!$A$1:$S$39</definedName>
    <definedName name="_xlnm.Print_Area" localSheetId="69">I.3!$A$1:$S$44</definedName>
    <definedName name="_xlnm.Print_Area" localSheetId="74">J.1!$A$1:$V$54</definedName>
    <definedName name="_xlnm.Print_Area" localSheetId="70">'J-1 Base'!$A$1:$M$27</definedName>
    <definedName name="_xlnm.Print_Area" localSheetId="75">'J-1 F'!$A$1:$M$28</definedName>
    <definedName name="_xlnm.Print_Area" localSheetId="71">'J-2 B'!$A$1:$L$23</definedName>
    <definedName name="_xlnm.Print_Area" localSheetId="76">'J-2 F'!$A$1:$L$28</definedName>
    <definedName name="_xlnm.Print_Area" localSheetId="72">'J-3 B'!$A$1:$K$33</definedName>
    <definedName name="_xlnm.Print_Area" localSheetId="77">'J-3 F'!$A$1:$K$33</definedName>
    <definedName name="_xlnm.Print_Area" localSheetId="73">'J-4'!$A$1:$S$16</definedName>
    <definedName name="_xlnm.Print_Area" localSheetId="78">K!$A$1:$R$135</definedName>
    <definedName name="_xlnm.Print_Area" localSheetId="0">'Table of Contents'!$A$1:$C$23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B.6 B'!$A$1:$Q$23</definedName>
    <definedName name="_xlnm.Print_Area" localSheetId="27">'WP B.6 F'!$A$1:$Q$23</definedName>
    <definedName name="Print_Area_MI">A.1!$A$1:$K$36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1">'C.2.1 B'!$1:$12</definedName>
    <definedName name="_xlnm.Print_Titles" localSheetId="32">'C.2.1 F'!$1:$12</definedName>
    <definedName name="_xlnm.Print_Titles" localSheetId="34">'C.2.2 B 02'!$1:$11</definedName>
    <definedName name="_xlnm.Print_Titles" localSheetId="33">'C.2.2 B 09'!$1:$11</definedName>
    <definedName name="_xlnm.Print_Titles" localSheetId="35">'C.2.2 B 12'!$1:$11</definedName>
    <definedName name="_xlnm.Print_Titles" localSheetId="36">'C.2.2 B 91'!$1:$11</definedName>
    <definedName name="_xlnm.Print_Titles" localSheetId="38">'C.2.2-F 02'!$1:$11</definedName>
    <definedName name="_xlnm.Print_Titles" localSheetId="37">'C.2.2-F 09'!$1:$11</definedName>
    <definedName name="_xlnm.Print_Titles" localSheetId="39">'C.2.2-F 12'!$1:$11</definedName>
    <definedName name="_xlnm.Print_Titles" localSheetId="40">'C.2.2-F 91'!$1:$11</definedName>
    <definedName name="_xlnm.Print_Titles" localSheetId="41">'C.2.3 B'!$1:$10</definedName>
    <definedName name="_xlnm.Print_Titles" localSheetId="42">'C.2.3 F'!$1:$10</definedName>
    <definedName name="_xlnm.Print_Titles" localSheetId="44">D.1!$1:$9</definedName>
    <definedName name="_xlnm.Print_Titles" localSheetId="51">F.1!$1:$11</definedName>
    <definedName name="_xlnm.Print_Titles" localSheetId="78">K!$1:$13</definedName>
    <definedName name="_xlnm.Print_Titles" localSheetId="24">'WP B.5 B'!$1:$11</definedName>
    <definedName name="_xlnm.Print_Titles" localSheetId="25">'WP B.5 F'!$1:$11</definedName>
    <definedName name="_xlnm.Print_Titles" localSheetId="26">'WP B.6 B'!$1:$11</definedName>
    <definedName name="_xlnm.Print_Titles" localSheetId="27">'WP B.6 F'!$1:$11</definedName>
    <definedName name="ROR" localSheetId="62">#REF!</definedName>
    <definedName name="ROR" localSheetId="61">#REF!</definedName>
    <definedName name="ROR">#REF!</definedName>
    <definedName name="SCHEDA">A.1!$A$1:$K$36</definedName>
    <definedName name="stdrate" localSheetId="62">#REF!</definedName>
    <definedName name="stdrate" localSheetId="61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S19" i="39" l="1"/>
  <c r="R19" i="39"/>
  <c r="Q19" i="39"/>
  <c r="O19" i="39"/>
  <c r="M19" i="39"/>
  <c r="S18" i="39"/>
  <c r="R18" i="39"/>
  <c r="Q18" i="39"/>
  <c r="O18" i="39"/>
  <c r="M18" i="39"/>
  <c r="S17" i="39"/>
  <c r="R17" i="39"/>
  <c r="Q17" i="39"/>
  <c r="O17" i="39"/>
  <c r="M17" i="39"/>
  <c r="S16" i="39"/>
  <c r="R16" i="39"/>
  <c r="Q16" i="39"/>
  <c r="O16" i="39"/>
  <c r="M16" i="39"/>
  <c r="S28" i="41"/>
  <c r="R28" i="41"/>
  <c r="Q28" i="41"/>
  <c r="O28" i="41"/>
  <c r="M28" i="41"/>
  <c r="S27" i="41"/>
  <c r="R27" i="41"/>
  <c r="Q27" i="41"/>
  <c r="O27" i="41"/>
  <c r="M27" i="41"/>
  <c r="S26" i="41"/>
  <c r="R26" i="41"/>
  <c r="Q26" i="41"/>
  <c r="O26" i="41"/>
  <c r="M26" i="41"/>
  <c r="S25" i="41"/>
  <c r="R25" i="41"/>
  <c r="Q25" i="41"/>
  <c r="O25" i="41"/>
  <c r="M25" i="41"/>
  <c r="S19" i="41"/>
  <c r="R19" i="41"/>
  <c r="Q19" i="41"/>
  <c r="S18" i="41"/>
  <c r="R18" i="41"/>
  <c r="Q18" i="41"/>
  <c r="S17" i="41"/>
  <c r="R17" i="41"/>
  <c r="Q17" i="41"/>
  <c r="S16" i="41"/>
  <c r="R16" i="41"/>
  <c r="Q16" i="41"/>
  <c r="P21" i="42"/>
  <c r="O21" i="42"/>
  <c r="N21" i="42"/>
  <c r="P19" i="42"/>
  <c r="O19" i="42"/>
  <c r="N19" i="42"/>
  <c r="P17" i="42"/>
  <c r="O17" i="42"/>
  <c r="N17" i="42"/>
  <c r="P16" i="42"/>
  <c r="O16" i="42"/>
  <c r="N16" i="42"/>
  <c r="O28" i="222"/>
  <c r="N28" i="222"/>
  <c r="M28" i="222"/>
  <c r="L28" i="222"/>
  <c r="K28" i="222"/>
  <c r="J28" i="222"/>
  <c r="I28" i="222"/>
  <c r="H28" i="222"/>
  <c r="G28" i="222"/>
  <c r="F28" i="222"/>
  <c r="E28" i="222"/>
  <c r="D28" i="222"/>
  <c r="O27" i="222"/>
  <c r="N27" i="222"/>
  <c r="M27" i="222"/>
  <c r="L27" i="222"/>
  <c r="K27" i="222"/>
  <c r="J27" i="222"/>
  <c r="I27" i="222"/>
  <c r="H27" i="222"/>
  <c r="G27" i="222"/>
  <c r="F27" i="222"/>
  <c r="E27" i="222"/>
  <c r="D27" i="222"/>
  <c r="O26" i="222"/>
  <c r="N26" i="222"/>
  <c r="M26" i="222"/>
  <c r="L26" i="222"/>
  <c r="K26" i="222"/>
  <c r="J26" i="222"/>
  <c r="I26" i="222"/>
  <c r="H26" i="222"/>
  <c r="G26" i="222"/>
  <c r="F26" i="222"/>
  <c r="E26" i="222"/>
  <c r="D26" i="222"/>
  <c r="O25" i="222"/>
  <c r="N25" i="222"/>
  <c r="M25" i="222"/>
  <c r="L25" i="222"/>
  <c r="K25" i="222"/>
  <c r="J25" i="222"/>
  <c r="I25" i="222"/>
  <c r="H25" i="222"/>
  <c r="G25" i="222"/>
  <c r="F25" i="222"/>
  <c r="E25" i="222"/>
  <c r="D25" i="222"/>
  <c r="O23" i="222"/>
  <c r="N23" i="222"/>
  <c r="M23" i="222"/>
  <c r="L23" i="222"/>
  <c r="K23" i="222"/>
  <c r="J23" i="222"/>
  <c r="I23" i="222"/>
  <c r="H23" i="222"/>
  <c r="G23" i="222"/>
  <c r="F23" i="222"/>
  <c r="E23" i="222"/>
  <c r="D23" i="222"/>
  <c r="O20" i="222"/>
  <c r="N20" i="222"/>
  <c r="M20" i="222"/>
  <c r="L20" i="222"/>
  <c r="K20" i="222"/>
  <c r="J20" i="222"/>
  <c r="I20" i="222"/>
  <c r="H20" i="222"/>
  <c r="G20" i="222"/>
  <c r="F20" i="222"/>
  <c r="E20" i="222"/>
  <c r="D20" i="222"/>
  <c r="O19" i="222"/>
  <c r="N19" i="222"/>
  <c r="M19" i="222"/>
  <c r="L19" i="222"/>
  <c r="K19" i="222"/>
  <c r="J19" i="222"/>
  <c r="I19" i="222"/>
  <c r="H19" i="222"/>
  <c r="G19" i="222"/>
  <c r="F19" i="222"/>
  <c r="E19" i="222"/>
  <c r="D19" i="222"/>
  <c r="O17" i="222"/>
  <c r="N17" i="222"/>
  <c r="M17" i="222"/>
  <c r="L17" i="222"/>
  <c r="K17" i="222"/>
  <c r="J17" i="222"/>
  <c r="I17" i="222"/>
  <c r="H17" i="222"/>
  <c r="G17" i="222"/>
  <c r="F17" i="222"/>
  <c r="E17" i="222"/>
  <c r="D17" i="222"/>
  <c r="O28" i="44"/>
  <c r="N28" i="44"/>
  <c r="M28" i="44"/>
  <c r="L28" i="44"/>
  <c r="K28" i="44"/>
  <c r="J28" i="44"/>
  <c r="O27" i="44"/>
  <c r="N27" i="44"/>
  <c r="M27" i="44"/>
  <c r="L27" i="44"/>
  <c r="K27" i="44"/>
  <c r="J27" i="44"/>
  <c r="O26" i="44"/>
  <c r="N26" i="44"/>
  <c r="M26" i="44"/>
  <c r="L26" i="44"/>
  <c r="K26" i="44"/>
  <c r="J26" i="44"/>
  <c r="O25" i="44"/>
  <c r="N25" i="44"/>
  <c r="M25" i="44"/>
  <c r="L25" i="44"/>
  <c r="K25" i="44"/>
  <c r="J25" i="44"/>
  <c r="O23" i="44"/>
  <c r="N23" i="44"/>
  <c r="M23" i="44"/>
  <c r="L23" i="44"/>
  <c r="K23" i="44"/>
  <c r="J23" i="44"/>
  <c r="O20" i="44"/>
  <c r="N20" i="44"/>
  <c r="M20" i="44"/>
  <c r="L20" i="44"/>
  <c r="K20" i="44"/>
  <c r="J20" i="44"/>
  <c r="O19" i="44"/>
  <c r="N19" i="44"/>
  <c r="M19" i="44"/>
  <c r="L19" i="44"/>
  <c r="K19" i="44"/>
  <c r="J19" i="44"/>
  <c r="O17" i="44"/>
  <c r="N17" i="44"/>
  <c r="M17" i="44"/>
  <c r="L17" i="44"/>
  <c r="K17" i="44"/>
  <c r="J17" i="44"/>
  <c r="O34" i="214"/>
  <c r="N34" i="214"/>
  <c r="M34" i="214"/>
  <c r="L34" i="214"/>
  <c r="K34" i="214"/>
  <c r="J34" i="214"/>
  <c r="O34" i="216"/>
  <c r="N34" i="216"/>
  <c r="M34" i="216"/>
  <c r="L34" i="216"/>
  <c r="K34" i="216"/>
  <c r="J34" i="216"/>
  <c r="I34" i="216"/>
  <c r="H34" i="216"/>
  <c r="G34" i="216"/>
  <c r="F34" i="216"/>
  <c r="E34" i="216"/>
  <c r="D34" i="216"/>
  <c r="C34" i="216"/>
  <c r="C22" i="239"/>
  <c r="I34" i="214" l="1"/>
  <c r="H34" i="214"/>
  <c r="G34" i="214"/>
  <c r="F34" i="214"/>
  <c r="E34" i="214"/>
  <c r="D34" i="214"/>
  <c r="C34" i="214"/>
  <c r="H17" i="212"/>
  <c r="H15" i="212"/>
  <c r="H14" i="212"/>
  <c r="D17" i="212"/>
  <c r="D15" i="212"/>
  <c r="D14" i="212"/>
  <c r="G15" i="212"/>
  <c r="G14" i="212"/>
  <c r="C15" i="212"/>
  <c r="C14" i="212"/>
  <c r="H132" i="10"/>
  <c r="G132" i="10"/>
  <c r="D223" i="237"/>
  <c r="D222" i="237"/>
  <c r="D221" i="237"/>
  <c r="D220" i="237"/>
  <c r="D219" i="237"/>
  <c r="D218" i="237"/>
  <c r="D217" i="237"/>
  <c r="D216" i="237"/>
  <c r="D215" i="237"/>
  <c r="D214" i="237"/>
  <c r="D213" i="237"/>
  <c r="D212" i="237"/>
  <c r="D211" i="237"/>
  <c r="D210" i="237"/>
  <c r="D209" i="237"/>
  <c r="D208" i="237"/>
  <c r="D207" i="237"/>
  <c r="D206" i="237"/>
  <c r="D205" i="237"/>
  <c r="D204" i="237"/>
  <c r="D196" i="237"/>
  <c r="D195" i="237"/>
  <c r="D194" i="237"/>
  <c r="D193" i="237"/>
  <c r="D192" i="237"/>
  <c r="D191" i="237"/>
  <c r="D190" i="237"/>
  <c r="D189" i="237"/>
  <c r="D188" i="237"/>
  <c r="D187" i="237"/>
  <c r="D186" i="237"/>
  <c r="D185" i="237"/>
  <c r="D184" i="237"/>
  <c r="D183" i="237"/>
  <c r="D182" i="237"/>
  <c r="D181" i="237"/>
  <c r="D180" i="237"/>
  <c r="D179" i="237"/>
  <c r="D178" i="237"/>
  <c r="D177" i="237"/>
  <c r="D176" i="237"/>
  <c r="D175" i="237"/>
  <c r="D174" i="237"/>
  <c r="D173" i="237"/>
  <c r="D163" i="237"/>
  <c r="D162" i="237"/>
  <c r="D161" i="237"/>
  <c r="D160" i="237"/>
  <c r="D159" i="237"/>
  <c r="D158" i="237"/>
  <c r="D157" i="237"/>
  <c r="D156" i="237"/>
  <c r="D155" i="237"/>
  <c r="D154" i="237"/>
  <c r="D153" i="237"/>
  <c r="D152" i="237"/>
  <c r="D151" i="237"/>
  <c r="D150" i="237"/>
  <c r="D149" i="237"/>
  <c r="D148" i="237"/>
  <c r="D118" i="237"/>
  <c r="D117" i="237"/>
  <c r="D106" i="237"/>
  <c r="D105" i="237"/>
  <c r="D104" i="237"/>
  <c r="D103" i="237"/>
  <c r="D102" i="237"/>
  <c r="D101" i="237"/>
  <c r="D100" i="237"/>
  <c r="D99" i="237"/>
  <c r="D98" i="237"/>
  <c r="D97" i="237"/>
  <c r="D96" i="237"/>
  <c r="D95" i="237"/>
  <c r="D94" i="237"/>
  <c r="D93" i="237"/>
  <c r="D92" i="237"/>
  <c r="D91" i="237"/>
  <c r="D90" i="237"/>
  <c r="D89" i="237"/>
  <c r="D88" i="237"/>
  <c r="D87" i="237"/>
  <c r="D86" i="237"/>
  <c r="D81" i="237"/>
  <c r="D80" i="237"/>
  <c r="D79" i="237"/>
  <c r="D78" i="237"/>
  <c r="D77" i="237"/>
  <c r="D76" i="237"/>
  <c r="D75" i="237"/>
  <c r="D74" i="237"/>
  <c r="D73" i="237"/>
  <c r="D72" i="237"/>
  <c r="D71" i="237"/>
  <c r="D70" i="237"/>
  <c r="D69" i="237"/>
  <c r="D68" i="237"/>
  <c r="D67" i="237"/>
  <c r="D66" i="237"/>
  <c r="D65" i="237"/>
  <c r="D64" i="237"/>
  <c r="D63" i="237"/>
  <c r="D62" i="237"/>
  <c r="D57" i="237"/>
  <c r="D56" i="237"/>
  <c r="D55" i="237"/>
  <c r="D54" i="237"/>
  <c r="D53" i="237"/>
  <c r="D52" i="237"/>
  <c r="D51" i="237"/>
  <c r="D50" i="237"/>
  <c r="D45" i="237"/>
  <c r="D44" i="237"/>
  <c r="D43" i="237"/>
  <c r="D42" i="237"/>
  <c r="D41" i="237"/>
  <c r="D40" i="237"/>
  <c r="D39" i="237"/>
  <c r="D38" i="237"/>
  <c r="D37" i="237"/>
  <c r="D36" i="237"/>
  <c r="D35" i="237"/>
  <c r="D34" i="237"/>
  <c r="D33" i="237"/>
  <c r="D32" i="237"/>
  <c r="D31" i="237"/>
  <c r="D30" i="237"/>
  <c r="D29" i="237"/>
  <c r="D24" i="237"/>
  <c r="D23" i="237"/>
  <c r="D22" i="237"/>
  <c r="D17" i="237"/>
  <c r="D16" i="237"/>
  <c r="K226" i="209"/>
  <c r="K225" i="209"/>
  <c r="K224" i="209"/>
  <c r="K223" i="209"/>
  <c r="K222" i="209"/>
  <c r="K221" i="209"/>
  <c r="K220" i="209"/>
  <c r="K219" i="209"/>
  <c r="K218" i="209"/>
  <c r="K217" i="209"/>
  <c r="K216" i="209"/>
  <c r="K215" i="209"/>
  <c r="K214" i="209"/>
  <c r="K213" i="209"/>
  <c r="K212" i="209"/>
  <c r="K211" i="209"/>
  <c r="K210" i="209"/>
  <c r="K209" i="209"/>
  <c r="K208" i="209"/>
  <c r="K207" i="209"/>
  <c r="K206" i="209"/>
  <c r="D226" i="209"/>
  <c r="D225" i="209"/>
  <c r="D224" i="209"/>
  <c r="D223" i="209"/>
  <c r="D222" i="209"/>
  <c r="D221" i="209"/>
  <c r="D220" i="209"/>
  <c r="D219" i="209"/>
  <c r="D218" i="209"/>
  <c r="D217" i="209"/>
  <c r="D216" i="209"/>
  <c r="D215" i="209"/>
  <c r="D214" i="209"/>
  <c r="D213" i="209"/>
  <c r="D212" i="209"/>
  <c r="D211" i="209"/>
  <c r="D210" i="209"/>
  <c r="D209" i="209"/>
  <c r="D208" i="209"/>
  <c r="D207" i="209"/>
  <c r="D206" i="209"/>
  <c r="K199" i="209"/>
  <c r="K198" i="209"/>
  <c r="K197" i="209"/>
  <c r="K196" i="209"/>
  <c r="K195" i="209"/>
  <c r="K194" i="209"/>
  <c r="K193" i="209"/>
  <c r="K192" i="209"/>
  <c r="K191" i="209"/>
  <c r="K190" i="209"/>
  <c r="K189" i="209"/>
  <c r="K188" i="209"/>
  <c r="K187" i="209"/>
  <c r="K186" i="209"/>
  <c r="K185" i="209"/>
  <c r="K184" i="209"/>
  <c r="K183" i="209"/>
  <c r="K182" i="209"/>
  <c r="K181" i="209"/>
  <c r="K180" i="209"/>
  <c r="K179" i="209"/>
  <c r="K178" i="209"/>
  <c r="K177" i="209"/>
  <c r="K176" i="209"/>
  <c r="K175" i="209"/>
  <c r="D199" i="209"/>
  <c r="D198" i="209"/>
  <c r="D197" i="209"/>
  <c r="D196" i="209"/>
  <c r="D195" i="209"/>
  <c r="D194" i="209"/>
  <c r="D193" i="209"/>
  <c r="D192" i="209"/>
  <c r="D191" i="209"/>
  <c r="D190" i="209"/>
  <c r="D189" i="209"/>
  <c r="D188" i="209"/>
  <c r="D187" i="209"/>
  <c r="D186" i="209"/>
  <c r="D185" i="209"/>
  <c r="D184" i="209"/>
  <c r="D183" i="209"/>
  <c r="D182" i="209"/>
  <c r="D181" i="209"/>
  <c r="D180" i="209"/>
  <c r="D179" i="209"/>
  <c r="D178" i="209"/>
  <c r="D177" i="209"/>
  <c r="D176" i="209"/>
  <c r="D175" i="209"/>
  <c r="K166" i="209"/>
  <c r="K165" i="209"/>
  <c r="K164" i="209"/>
  <c r="K163" i="209"/>
  <c r="K162" i="209"/>
  <c r="K161" i="209"/>
  <c r="K160" i="209"/>
  <c r="K159" i="209"/>
  <c r="K158" i="209"/>
  <c r="K157" i="209"/>
  <c r="K156" i="209"/>
  <c r="K155" i="209"/>
  <c r="K154" i="209"/>
  <c r="K153" i="209"/>
  <c r="K152" i="209"/>
  <c r="K151" i="209"/>
  <c r="K150" i="209"/>
  <c r="D166" i="209"/>
  <c r="D165" i="209"/>
  <c r="D164" i="209"/>
  <c r="D163" i="209"/>
  <c r="D162" i="209"/>
  <c r="D161" i="209"/>
  <c r="D160" i="209"/>
  <c r="D159" i="209"/>
  <c r="D158" i="209"/>
  <c r="D157" i="209"/>
  <c r="D156" i="209"/>
  <c r="D155" i="209"/>
  <c r="D154" i="209"/>
  <c r="D153" i="209"/>
  <c r="D152" i="209"/>
  <c r="D151" i="209"/>
  <c r="D150" i="209"/>
  <c r="K108" i="209"/>
  <c r="K107" i="209"/>
  <c r="K106" i="209"/>
  <c r="K105" i="209"/>
  <c r="K104" i="209"/>
  <c r="K103" i="209"/>
  <c r="K102" i="209"/>
  <c r="K101" i="209"/>
  <c r="K100" i="209"/>
  <c r="K99" i="209"/>
  <c r="K98" i="209"/>
  <c r="K97" i="209"/>
  <c r="K96" i="209"/>
  <c r="K95" i="209"/>
  <c r="K94" i="209"/>
  <c r="K93" i="209"/>
  <c r="K92" i="209"/>
  <c r="K91" i="209"/>
  <c r="K90" i="209"/>
  <c r="K89" i="209"/>
  <c r="K88" i="209"/>
  <c r="K87" i="209"/>
  <c r="K86" i="209"/>
  <c r="D108" i="209"/>
  <c r="D107" i="209"/>
  <c r="D106" i="209"/>
  <c r="D105" i="209"/>
  <c r="D104" i="209"/>
  <c r="D103" i="209"/>
  <c r="D102" i="209"/>
  <c r="D101" i="209"/>
  <c r="D100" i="209"/>
  <c r="D99" i="209"/>
  <c r="D98" i="209"/>
  <c r="D97" i="209"/>
  <c r="D96" i="209"/>
  <c r="D95" i="209"/>
  <c r="D94" i="209"/>
  <c r="D93" i="209"/>
  <c r="D92" i="209"/>
  <c r="D91" i="209"/>
  <c r="D90" i="209"/>
  <c r="D89" i="209"/>
  <c r="D88" i="209"/>
  <c r="D87" i="209"/>
  <c r="D86" i="209"/>
  <c r="K81" i="209"/>
  <c r="K80" i="209"/>
  <c r="K79" i="209"/>
  <c r="K78" i="209"/>
  <c r="K77" i="209"/>
  <c r="K76" i="209"/>
  <c r="K75" i="209"/>
  <c r="K74" i="209"/>
  <c r="K73" i="209"/>
  <c r="K72" i="209"/>
  <c r="K71" i="209"/>
  <c r="K70" i="209"/>
  <c r="K69" i="209"/>
  <c r="K68" i="209"/>
  <c r="K67" i="209"/>
  <c r="K66" i="209"/>
  <c r="K65" i="209"/>
  <c r="K64" i="209"/>
  <c r="K63" i="209"/>
  <c r="K62" i="209"/>
  <c r="D81" i="209"/>
  <c r="D80" i="209"/>
  <c r="D79" i="209"/>
  <c r="D78" i="209"/>
  <c r="D77" i="209"/>
  <c r="D76" i="209"/>
  <c r="D75" i="209"/>
  <c r="D74" i="209"/>
  <c r="D73" i="209"/>
  <c r="D72" i="209"/>
  <c r="D71" i="209"/>
  <c r="D70" i="209"/>
  <c r="D69" i="209"/>
  <c r="D68" i="209"/>
  <c r="D67" i="209"/>
  <c r="D66" i="209"/>
  <c r="D65" i="209"/>
  <c r="D64" i="209"/>
  <c r="D63" i="209"/>
  <c r="D62" i="209"/>
  <c r="K57" i="209"/>
  <c r="K56" i="209"/>
  <c r="K55" i="209"/>
  <c r="K54" i="209"/>
  <c r="K53" i="209"/>
  <c r="K52" i="209"/>
  <c r="K51" i="209"/>
  <c r="K50" i="209"/>
  <c r="D57" i="209"/>
  <c r="D56" i="209"/>
  <c r="D55" i="209"/>
  <c r="D54" i="209"/>
  <c r="D53" i="209"/>
  <c r="D52" i="209"/>
  <c r="D51" i="209"/>
  <c r="D50" i="209"/>
  <c r="K45" i="209"/>
  <c r="K44" i="209"/>
  <c r="K43" i="209"/>
  <c r="K42" i="209"/>
  <c r="K41" i="209"/>
  <c r="K40" i="209"/>
  <c r="K39" i="209"/>
  <c r="K38" i="209"/>
  <c r="K37" i="209"/>
  <c r="K36" i="209"/>
  <c r="K35" i="209"/>
  <c r="K34" i="209"/>
  <c r="K33" i="209"/>
  <c r="K32" i="209"/>
  <c r="K31" i="209"/>
  <c r="K30" i="209"/>
  <c r="K29" i="209"/>
  <c r="D45" i="209"/>
  <c r="D44" i="209"/>
  <c r="D43" i="209"/>
  <c r="D42" i="209"/>
  <c r="D41" i="209"/>
  <c r="D40" i="209"/>
  <c r="D39" i="209"/>
  <c r="D38" i="209"/>
  <c r="D37" i="209"/>
  <c r="D36" i="209"/>
  <c r="D35" i="209"/>
  <c r="D34" i="209"/>
  <c r="D33" i="209"/>
  <c r="D32" i="209"/>
  <c r="D31" i="209"/>
  <c r="D30" i="209"/>
  <c r="D29" i="209"/>
  <c r="K24" i="209"/>
  <c r="K23" i="209"/>
  <c r="K22" i="209"/>
  <c r="D24" i="209"/>
  <c r="D23" i="209"/>
  <c r="D22" i="209"/>
  <c r="K17" i="209"/>
  <c r="K16" i="209"/>
  <c r="D17" i="209"/>
  <c r="D16" i="209"/>
  <c r="K226" i="236"/>
  <c r="K225" i="236"/>
  <c r="K224" i="236"/>
  <c r="K223" i="236"/>
  <c r="K222" i="236"/>
  <c r="K221" i="236"/>
  <c r="K220" i="236"/>
  <c r="K219" i="236"/>
  <c r="K218" i="236"/>
  <c r="K217" i="236"/>
  <c r="K216" i="236"/>
  <c r="K215" i="236"/>
  <c r="K214" i="236"/>
  <c r="K213" i="236"/>
  <c r="K212" i="236"/>
  <c r="K211" i="236"/>
  <c r="K210" i="236"/>
  <c r="K209" i="236"/>
  <c r="K208" i="236"/>
  <c r="K207" i="236"/>
  <c r="K206" i="236"/>
  <c r="D226" i="236"/>
  <c r="D225" i="236"/>
  <c r="D224" i="236"/>
  <c r="D223" i="236"/>
  <c r="D222" i="236"/>
  <c r="D221" i="236"/>
  <c r="D220" i="236"/>
  <c r="D219" i="236"/>
  <c r="D218" i="236"/>
  <c r="D217" i="236"/>
  <c r="D216" i="236"/>
  <c r="D215" i="236"/>
  <c r="D214" i="236"/>
  <c r="D213" i="236"/>
  <c r="D212" i="236"/>
  <c r="D211" i="236"/>
  <c r="D210" i="236"/>
  <c r="D209" i="236"/>
  <c r="D208" i="236"/>
  <c r="D207" i="236"/>
  <c r="D206" i="236"/>
  <c r="K199" i="236"/>
  <c r="K198" i="236"/>
  <c r="K197" i="236"/>
  <c r="K196" i="236"/>
  <c r="K195" i="236"/>
  <c r="K194" i="236"/>
  <c r="K193" i="236"/>
  <c r="K192" i="236"/>
  <c r="K191" i="236"/>
  <c r="K190" i="236"/>
  <c r="K189" i="236"/>
  <c r="K188" i="236"/>
  <c r="K187" i="236"/>
  <c r="K186" i="236"/>
  <c r="K185" i="236"/>
  <c r="K184" i="236"/>
  <c r="K183" i="236"/>
  <c r="K182" i="236"/>
  <c r="K181" i="236"/>
  <c r="K180" i="236"/>
  <c r="K179" i="236"/>
  <c r="K178" i="236"/>
  <c r="K177" i="236"/>
  <c r="K176" i="236"/>
  <c r="K175" i="236"/>
  <c r="D199" i="236"/>
  <c r="D198" i="236"/>
  <c r="D197" i="236"/>
  <c r="D196" i="236"/>
  <c r="D195" i="236"/>
  <c r="D194" i="236"/>
  <c r="D193" i="236"/>
  <c r="D192" i="236"/>
  <c r="D191" i="236"/>
  <c r="D190" i="236"/>
  <c r="D189" i="236"/>
  <c r="D188" i="236"/>
  <c r="D187" i="236"/>
  <c r="D186" i="236"/>
  <c r="D185" i="236"/>
  <c r="D184" i="236"/>
  <c r="D183" i="236"/>
  <c r="D182" i="236"/>
  <c r="D181" i="236"/>
  <c r="D180" i="236"/>
  <c r="D179" i="236"/>
  <c r="D178" i="236"/>
  <c r="D177" i="236"/>
  <c r="D176" i="236"/>
  <c r="D175" i="236"/>
  <c r="K166" i="236"/>
  <c r="K165" i="236"/>
  <c r="K164" i="236"/>
  <c r="K163" i="236"/>
  <c r="K162" i="236"/>
  <c r="K161" i="236"/>
  <c r="K160" i="236"/>
  <c r="K159" i="236"/>
  <c r="K158" i="236"/>
  <c r="K157" i="236"/>
  <c r="K156" i="236"/>
  <c r="K155" i="236"/>
  <c r="K154" i="236"/>
  <c r="K153" i="236"/>
  <c r="K152" i="236"/>
  <c r="K151" i="236"/>
  <c r="K150" i="236"/>
  <c r="D166" i="236"/>
  <c r="D165" i="236"/>
  <c r="D164" i="236"/>
  <c r="D163" i="236"/>
  <c r="D162" i="236"/>
  <c r="D161" i="236"/>
  <c r="D160" i="236"/>
  <c r="D159" i="236"/>
  <c r="D158" i="236"/>
  <c r="D157" i="236"/>
  <c r="D156" i="236"/>
  <c r="D155" i="236"/>
  <c r="D154" i="236"/>
  <c r="D153" i="236"/>
  <c r="D152" i="236"/>
  <c r="D151" i="236"/>
  <c r="D150" i="236"/>
  <c r="K120" i="236"/>
  <c r="K119" i="236"/>
  <c r="D120" i="236"/>
  <c r="D119" i="236"/>
  <c r="K108" i="236"/>
  <c r="K107" i="236"/>
  <c r="K106" i="236"/>
  <c r="K105" i="236"/>
  <c r="K104" i="236"/>
  <c r="K103" i="236"/>
  <c r="K102" i="236"/>
  <c r="K101" i="236"/>
  <c r="K100" i="236"/>
  <c r="K99" i="236"/>
  <c r="K98" i="236"/>
  <c r="K97" i="236"/>
  <c r="K96" i="236"/>
  <c r="K95" i="236"/>
  <c r="K94" i="236"/>
  <c r="K93" i="236"/>
  <c r="K92" i="236"/>
  <c r="K91" i="236"/>
  <c r="K90" i="236"/>
  <c r="K89" i="236"/>
  <c r="K88" i="236"/>
  <c r="K87" i="236"/>
  <c r="K86" i="236"/>
  <c r="D108" i="236"/>
  <c r="D107" i="236"/>
  <c r="D106" i="236"/>
  <c r="D105" i="236"/>
  <c r="D104" i="236"/>
  <c r="D103" i="236"/>
  <c r="D102" i="236"/>
  <c r="D101" i="236"/>
  <c r="D100" i="236"/>
  <c r="D99" i="236"/>
  <c r="D98" i="236"/>
  <c r="D97" i="236"/>
  <c r="D96" i="236"/>
  <c r="D95" i="236"/>
  <c r="D94" i="236"/>
  <c r="D93" i="236"/>
  <c r="D92" i="236"/>
  <c r="D91" i="236"/>
  <c r="D90" i="236"/>
  <c r="D89" i="236"/>
  <c r="D88" i="236"/>
  <c r="D87" i="236"/>
  <c r="D86" i="236"/>
  <c r="K81" i="236"/>
  <c r="K80" i="236"/>
  <c r="K79" i="236"/>
  <c r="K78" i="236"/>
  <c r="K77" i="236"/>
  <c r="K76" i="236"/>
  <c r="K75" i="236"/>
  <c r="K74" i="236"/>
  <c r="K73" i="236"/>
  <c r="K72" i="236"/>
  <c r="K71" i="236"/>
  <c r="K70" i="236"/>
  <c r="K69" i="236"/>
  <c r="K68" i="236"/>
  <c r="K67" i="236"/>
  <c r="K66" i="236"/>
  <c r="K65" i="236"/>
  <c r="K64" i="236"/>
  <c r="K63" i="236"/>
  <c r="K62" i="236"/>
  <c r="D81" i="236"/>
  <c r="D80" i="236"/>
  <c r="D79" i="236"/>
  <c r="D78" i="236"/>
  <c r="D77" i="236"/>
  <c r="D76" i="236"/>
  <c r="D75" i="236"/>
  <c r="D74" i="236"/>
  <c r="D73" i="236"/>
  <c r="D72" i="236"/>
  <c r="D71" i="236"/>
  <c r="D70" i="236"/>
  <c r="D69" i="236"/>
  <c r="D68" i="236"/>
  <c r="D67" i="236"/>
  <c r="D66" i="236"/>
  <c r="D65" i="236"/>
  <c r="D64" i="236"/>
  <c r="D63" i="236"/>
  <c r="D62" i="236"/>
  <c r="K57" i="236"/>
  <c r="K56" i="236"/>
  <c r="K55" i="236"/>
  <c r="K54" i="236"/>
  <c r="K53" i="236"/>
  <c r="K52" i="236"/>
  <c r="K51" i="236"/>
  <c r="K50" i="236"/>
  <c r="D57" i="236"/>
  <c r="D56" i="236"/>
  <c r="D55" i="236"/>
  <c r="D54" i="236"/>
  <c r="D53" i="236"/>
  <c r="D52" i="236"/>
  <c r="D51" i="236"/>
  <c r="D50" i="236"/>
  <c r="K45" i="236"/>
  <c r="K44" i="236"/>
  <c r="K43" i="236"/>
  <c r="K42" i="236"/>
  <c r="K41" i="236"/>
  <c r="K40" i="236"/>
  <c r="K39" i="236"/>
  <c r="K38" i="236"/>
  <c r="K37" i="236"/>
  <c r="K36" i="236"/>
  <c r="K35" i="236"/>
  <c r="K34" i="236"/>
  <c r="K33" i="236"/>
  <c r="K32" i="236"/>
  <c r="K31" i="236"/>
  <c r="K30" i="236"/>
  <c r="K29" i="236"/>
  <c r="D45" i="236"/>
  <c r="D44" i="236"/>
  <c r="D43" i="236"/>
  <c r="D42" i="236"/>
  <c r="D41" i="236"/>
  <c r="D40" i="236"/>
  <c r="D39" i="236"/>
  <c r="D38" i="236"/>
  <c r="D37" i="236"/>
  <c r="D36" i="236"/>
  <c r="D35" i="236"/>
  <c r="D34" i="236"/>
  <c r="D33" i="236"/>
  <c r="D32" i="236"/>
  <c r="D31" i="236"/>
  <c r="D30" i="236"/>
  <c r="D29" i="236"/>
  <c r="K24" i="236"/>
  <c r="K23" i="236"/>
  <c r="K22" i="236"/>
  <c r="D24" i="236"/>
  <c r="D23" i="236"/>
  <c r="D22" i="236"/>
  <c r="K17" i="236"/>
  <c r="K16" i="236"/>
  <c r="D17" i="236"/>
  <c r="D16" i="236"/>
  <c r="K224" i="213"/>
  <c r="K223" i="213"/>
  <c r="K222" i="213"/>
  <c r="K221" i="213"/>
  <c r="K220" i="213"/>
  <c r="K219" i="213"/>
  <c r="K218" i="213"/>
  <c r="K217" i="213"/>
  <c r="K216" i="213"/>
  <c r="K215" i="213"/>
  <c r="K214" i="213"/>
  <c r="K213" i="213"/>
  <c r="K212" i="213"/>
  <c r="K211" i="213"/>
  <c r="K210" i="213"/>
  <c r="K209" i="213"/>
  <c r="K208" i="213"/>
  <c r="K207" i="213"/>
  <c r="K206" i="213"/>
  <c r="K205" i="213"/>
  <c r="D224" i="213"/>
  <c r="D223" i="213"/>
  <c r="D222" i="213"/>
  <c r="D221" i="213"/>
  <c r="D220" i="213"/>
  <c r="D219" i="213"/>
  <c r="D218" i="213"/>
  <c r="D217" i="213"/>
  <c r="D216" i="213"/>
  <c r="D215" i="213"/>
  <c r="D214" i="213"/>
  <c r="D213" i="213"/>
  <c r="D212" i="213"/>
  <c r="D211" i="213"/>
  <c r="D210" i="213"/>
  <c r="D209" i="213"/>
  <c r="D208" i="213"/>
  <c r="D207" i="213"/>
  <c r="D206" i="213"/>
  <c r="D205" i="213"/>
  <c r="K196" i="213"/>
  <c r="K195" i="213"/>
  <c r="K194" i="213"/>
  <c r="K193" i="213"/>
  <c r="K192" i="213"/>
  <c r="K191" i="213"/>
  <c r="K190" i="213"/>
  <c r="K189" i="213"/>
  <c r="K188" i="213"/>
  <c r="K187" i="213"/>
  <c r="K186" i="213"/>
  <c r="K185" i="213"/>
  <c r="K184" i="213"/>
  <c r="K183" i="213"/>
  <c r="K182" i="213"/>
  <c r="K181" i="213"/>
  <c r="K180" i="213"/>
  <c r="K179" i="213"/>
  <c r="K178" i="213"/>
  <c r="K177" i="213"/>
  <c r="K176" i="213"/>
  <c r="K175" i="213"/>
  <c r="K174" i="213"/>
  <c r="K173" i="213"/>
  <c r="D196" i="213"/>
  <c r="D195" i="213"/>
  <c r="D194" i="213"/>
  <c r="D193" i="213"/>
  <c r="D192" i="213"/>
  <c r="D191" i="213"/>
  <c r="D190" i="213"/>
  <c r="D189" i="213"/>
  <c r="D188" i="213"/>
  <c r="D187" i="213"/>
  <c r="D186" i="213"/>
  <c r="D185" i="213"/>
  <c r="D184" i="213"/>
  <c r="D183" i="213"/>
  <c r="D182" i="213"/>
  <c r="D181" i="213"/>
  <c r="D180" i="213"/>
  <c r="D179" i="213"/>
  <c r="D178" i="213"/>
  <c r="D177" i="213"/>
  <c r="D176" i="213"/>
  <c r="D175" i="213"/>
  <c r="D174" i="213"/>
  <c r="D173" i="213"/>
  <c r="K168" i="213"/>
  <c r="D168" i="213"/>
  <c r="K162" i="213"/>
  <c r="K161" i="213"/>
  <c r="K160" i="213"/>
  <c r="K159" i="213"/>
  <c r="K158" i="213"/>
  <c r="K157" i="213"/>
  <c r="K156" i="213"/>
  <c r="K155" i="213"/>
  <c r="K154" i="213"/>
  <c r="K153" i="213"/>
  <c r="K152" i="213"/>
  <c r="K151" i="213"/>
  <c r="K150" i="213"/>
  <c r="K149" i="213"/>
  <c r="K148" i="213"/>
  <c r="K147" i="213"/>
  <c r="D162" i="213"/>
  <c r="D161" i="213"/>
  <c r="D160" i="213"/>
  <c r="D159" i="213"/>
  <c r="D158" i="213"/>
  <c r="D157" i="213"/>
  <c r="D156" i="213"/>
  <c r="D155" i="213"/>
  <c r="D154" i="213"/>
  <c r="D153" i="213"/>
  <c r="D152" i="213"/>
  <c r="D151" i="213"/>
  <c r="D150" i="213"/>
  <c r="D149" i="213"/>
  <c r="D148" i="213"/>
  <c r="D147" i="213"/>
  <c r="K117" i="213"/>
  <c r="K116" i="213"/>
  <c r="D117" i="213"/>
  <c r="D116" i="213"/>
  <c r="K111" i="213"/>
  <c r="D111" i="213"/>
  <c r="K105" i="213"/>
  <c r="K104" i="213"/>
  <c r="K103" i="213"/>
  <c r="K102" i="213"/>
  <c r="K101" i="213"/>
  <c r="K100" i="213"/>
  <c r="K99" i="213"/>
  <c r="K98" i="213"/>
  <c r="K97" i="213"/>
  <c r="K96" i="213"/>
  <c r="K95" i="213"/>
  <c r="K94" i="213"/>
  <c r="K93" i="213"/>
  <c r="K92" i="213"/>
  <c r="K91" i="213"/>
  <c r="K90" i="213"/>
  <c r="K89" i="213"/>
  <c r="K88" i="213"/>
  <c r="K87" i="213"/>
  <c r="K86" i="213"/>
  <c r="D105" i="213"/>
  <c r="D104" i="213"/>
  <c r="D103" i="213"/>
  <c r="D102" i="213"/>
  <c r="D101" i="213"/>
  <c r="D100" i="213"/>
  <c r="D99" i="213"/>
  <c r="D98" i="213"/>
  <c r="D97" i="213"/>
  <c r="D96" i="213"/>
  <c r="D95" i="213"/>
  <c r="D94" i="213"/>
  <c r="D93" i="213"/>
  <c r="D92" i="213"/>
  <c r="D91" i="213"/>
  <c r="D90" i="213"/>
  <c r="D89" i="213"/>
  <c r="D88" i="213"/>
  <c r="D87" i="213"/>
  <c r="D86" i="213"/>
  <c r="K81" i="213"/>
  <c r="K80" i="213"/>
  <c r="K79" i="213"/>
  <c r="K78" i="213"/>
  <c r="K77" i="213"/>
  <c r="K76" i="213"/>
  <c r="K75" i="213"/>
  <c r="K74" i="213"/>
  <c r="K73" i="213"/>
  <c r="K72" i="213"/>
  <c r="K71" i="213"/>
  <c r="K70" i="213"/>
  <c r="K69" i="213"/>
  <c r="K68" i="213"/>
  <c r="K67" i="213"/>
  <c r="K66" i="213"/>
  <c r="K65" i="213"/>
  <c r="K64" i="213"/>
  <c r="K63" i="213"/>
  <c r="K62" i="213"/>
  <c r="D81" i="213"/>
  <c r="D80" i="213"/>
  <c r="D79" i="213"/>
  <c r="D78" i="213"/>
  <c r="D77" i="213"/>
  <c r="D76" i="213"/>
  <c r="D75" i="213"/>
  <c r="D74" i="213"/>
  <c r="D73" i="213"/>
  <c r="D72" i="213"/>
  <c r="D71" i="213"/>
  <c r="D70" i="213"/>
  <c r="D69" i="213"/>
  <c r="D68" i="213"/>
  <c r="D67" i="213"/>
  <c r="D66" i="213"/>
  <c r="D65" i="213"/>
  <c r="D64" i="213"/>
  <c r="D63" i="213"/>
  <c r="D62" i="213"/>
  <c r="K57" i="213"/>
  <c r="K56" i="213"/>
  <c r="K55" i="213"/>
  <c r="K54" i="213"/>
  <c r="K53" i="213"/>
  <c r="K52" i="213"/>
  <c r="K51" i="213"/>
  <c r="K50" i="213"/>
  <c r="D57" i="213"/>
  <c r="D56" i="213"/>
  <c r="D55" i="213"/>
  <c r="D54" i="213"/>
  <c r="D53" i="213"/>
  <c r="D52" i="213"/>
  <c r="D51" i="213"/>
  <c r="D50" i="213"/>
  <c r="K45" i="213"/>
  <c r="K44" i="213"/>
  <c r="K43" i="213"/>
  <c r="K42" i="213"/>
  <c r="K41" i="213"/>
  <c r="K40" i="213"/>
  <c r="K39" i="213"/>
  <c r="K38" i="213"/>
  <c r="K37" i="213"/>
  <c r="K36" i="213"/>
  <c r="K35" i="213"/>
  <c r="K34" i="213"/>
  <c r="K33" i="213"/>
  <c r="K32" i="213"/>
  <c r="K31" i="213"/>
  <c r="K30" i="213"/>
  <c r="K29" i="213"/>
  <c r="D45" i="213"/>
  <c r="D44" i="213"/>
  <c r="D43" i="213"/>
  <c r="D42" i="213"/>
  <c r="D41" i="213"/>
  <c r="D40" i="213"/>
  <c r="D39" i="213"/>
  <c r="D38" i="213"/>
  <c r="D37" i="213"/>
  <c r="D36" i="213"/>
  <c r="D35" i="213"/>
  <c r="D34" i="213"/>
  <c r="D33" i="213"/>
  <c r="D32" i="213"/>
  <c r="D31" i="213"/>
  <c r="D30" i="213"/>
  <c r="D29" i="213"/>
  <c r="K24" i="213"/>
  <c r="K23" i="213"/>
  <c r="K22" i="213"/>
  <c r="D24" i="213"/>
  <c r="D23" i="213"/>
  <c r="D22" i="213"/>
  <c r="K17" i="213"/>
  <c r="K16" i="213"/>
  <c r="D17" i="213"/>
  <c r="D16" i="213"/>
  <c r="K228" i="207"/>
  <c r="D228" i="207"/>
  <c r="K224" i="207"/>
  <c r="K223" i="207"/>
  <c r="K222" i="207"/>
  <c r="K221" i="207"/>
  <c r="K220" i="207"/>
  <c r="K219" i="207"/>
  <c r="K218" i="207"/>
  <c r="K217" i="207"/>
  <c r="K216" i="207"/>
  <c r="K215" i="207"/>
  <c r="K214" i="207"/>
  <c r="K213" i="207"/>
  <c r="K212" i="207"/>
  <c r="K211" i="207"/>
  <c r="K210" i="207"/>
  <c r="K209" i="207"/>
  <c r="K208" i="207"/>
  <c r="K207" i="207"/>
  <c r="K206" i="207"/>
  <c r="K205" i="207"/>
  <c r="D224" i="207"/>
  <c r="D223" i="207"/>
  <c r="D222" i="207"/>
  <c r="D221" i="207"/>
  <c r="D220" i="207"/>
  <c r="D219" i="207"/>
  <c r="D218" i="207"/>
  <c r="D217" i="207"/>
  <c r="D216" i="207"/>
  <c r="D215" i="207"/>
  <c r="D214" i="207"/>
  <c r="D213" i="207"/>
  <c r="D212" i="207"/>
  <c r="D211" i="207"/>
  <c r="D210" i="207"/>
  <c r="D209" i="207"/>
  <c r="D208" i="207"/>
  <c r="D207" i="207"/>
  <c r="D206" i="207"/>
  <c r="D205" i="207"/>
  <c r="K200" i="207"/>
  <c r="D200" i="207"/>
  <c r="K196" i="207"/>
  <c r="K195" i="207"/>
  <c r="K194" i="207"/>
  <c r="K193" i="207"/>
  <c r="K192" i="207"/>
  <c r="K191" i="207"/>
  <c r="K190" i="207"/>
  <c r="K189" i="207"/>
  <c r="K188" i="207"/>
  <c r="K187" i="207"/>
  <c r="K186" i="207"/>
  <c r="K185" i="207"/>
  <c r="K184" i="207"/>
  <c r="K183" i="207"/>
  <c r="K182" i="207"/>
  <c r="K181" i="207"/>
  <c r="K180" i="207"/>
  <c r="K179" i="207"/>
  <c r="K178" i="207"/>
  <c r="K177" i="207"/>
  <c r="K176" i="207"/>
  <c r="K175" i="207"/>
  <c r="K174" i="207"/>
  <c r="K173" i="207"/>
  <c r="D196" i="207"/>
  <c r="D195" i="207"/>
  <c r="D194" i="207"/>
  <c r="D193" i="207"/>
  <c r="D192" i="207"/>
  <c r="D191" i="207"/>
  <c r="D190" i="207"/>
  <c r="D189" i="207"/>
  <c r="D188" i="207"/>
  <c r="D187" i="207"/>
  <c r="D186" i="207"/>
  <c r="D185" i="207"/>
  <c r="D184" i="207"/>
  <c r="D183" i="207"/>
  <c r="D182" i="207"/>
  <c r="D181" i="207"/>
  <c r="D180" i="207"/>
  <c r="D179" i="207"/>
  <c r="D178" i="207"/>
  <c r="D177" i="207"/>
  <c r="D176" i="207"/>
  <c r="D175" i="207"/>
  <c r="D174" i="207"/>
  <c r="D173" i="207"/>
  <c r="K168" i="207"/>
  <c r="D168" i="207"/>
  <c r="K162" i="207"/>
  <c r="K161" i="207"/>
  <c r="K160" i="207"/>
  <c r="K159" i="207"/>
  <c r="K158" i="207"/>
  <c r="K157" i="207"/>
  <c r="K156" i="207"/>
  <c r="K155" i="207"/>
  <c r="K154" i="207"/>
  <c r="K153" i="207"/>
  <c r="K152" i="207"/>
  <c r="K151" i="207"/>
  <c r="K150" i="207"/>
  <c r="K149" i="207"/>
  <c r="K148" i="207"/>
  <c r="K147" i="207"/>
  <c r="D162" i="207"/>
  <c r="D161" i="207"/>
  <c r="D160" i="207"/>
  <c r="D159" i="207"/>
  <c r="D158" i="207"/>
  <c r="D157" i="207"/>
  <c r="D156" i="207"/>
  <c r="D155" i="207"/>
  <c r="D154" i="207"/>
  <c r="D153" i="207"/>
  <c r="D152" i="207"/>
  <c r="D151" i="207"/>
  <c r="D150" i="207"/>
  <c r="D149" i="207"/>
  <c r="D148" i="207"/>
  <c r="D147" i="207"/>
  <c r="K117" i="207"/>
  <c r="K116" i="207"/>
  <c r="D117" i="207"/>
  <c r="D116" i="207"/>
  <c r="K111" i="207"/>
  <c r="D111" i="207"/>
  <c r="K105" i="207"/>
  <c r="K104" i="207"/>
  <c r="K103" i="207"/>
  <c r="K102" i="207"/>
  <c r="K101" i="207"/>
  <c r="K100" i="207"/>
  <c r="K99" i="207"/>
  <c r="K98" i="207"/>
  <c r="K97" i="207"/>
  <c r="K96" i="207"/>
  <c r="K95" i="207"/>
  <c r="K94" i="207"/>
  <c r="K93" i="207"/>
  <c r="K92" i="207"/>
  <c r="K91" i="207"/>
  <c r="K90" i="207"/>
  <c r="K89" i="207"/>
  <c r="K88" i="207"/>
  <c r="K87" i="207"/>
  <c r="K86" i="207"/>
  <c r="D105" i="207"/>
  <c r="D104" i="207"/>
  <c r="D103" i="207"/>
  <c r="D102" i="207"/>
  <c r="D101" i="207"/>
  <c r="D100" i="207"/>
  <c r="D99" i="207"/>
  <c r="D98" i="207"/>
  <c r="D97" i="207"/>
  <c r="D96" i="207"/>
  <c r="D95" i="207"/>
  <c r="D94" i="207"/>
  <c r="D93" i="207"/>
  <c r="D92" i="207"/>
  <c r="D91" i="207"/>
  <c r="D90" i="207"/>
  <c r="D89" i="207"/>
  <c r="D88" i="207"/>
  <c r="D87" i="207"/>
  <c r="D86" i="207"/>
  <c r="K81" i="207"/>
  <c r="K80" i="207"/>
  <c r="K79" i="207"/>
  <c r="K78" i="207"/>
  <c r="K77" i="207"/>
  <c r="K76" i="207"/>
  <c r="K75" i="207"/>
  <c r="K74" i="207"/>
  <c r="K73" i="207"/>
  <c r="K72" i="207"/>
  <c r="K71" i="207"/>
  <c r="K70" i="207"/>
  <c r="K69" i="207"/>
  <c r="K68" i="207"/>
  <c r="K67" i="207"/>
  <c r="K66" i="207"/>
  <c r="K65" i="207"/>
  <c r="K64" i="207"/>
  <c r="K63" i="207"/>
  <c r="K62" i="207"/>
  <c r="D81" i="207"/>
  <c r="D80" i="207"/>
  <c r="D79" i="207"/>
  <c r="D78" i="207"/>
  <c r="D77" i="207"/>
  <c r="D76" i="207"/>
  <c r="D75" i="207"/>
  <c r="D74" i="207"/>
  <c r="D73" i="207"/>
  <c r="D72" i="207"/>
  <c r="D71" i="207"/>
  <c r="D70" i="207"/>
  <c r="D69" i="207"/>
  <c r="D68" i="207"/>
  <c r="D67" i="207"/>
  <c r="D66" i="207"/>
  <c r="D65" i="207"/>
  <c r="D64" i="207"/>
  <c r="D63" i="207"/>
  <c r="D62" i="207"/>
  <c r="K57" i="207"/>
  <c r="K56" i="207"/>
  <c r="K55" i="207"/>
  <c r="K54" i="207"/>
  <c r="K53" i="207"/>
  <c r="K52" i="207"/>
  <c r="K51" i="207"/>
  <c r="K50" i="207"/>
  <c r="D57" i="207"/>
  <c r="D56" i="207"/>
  <c r="D55" i="207"/>
  <c r="D54" i="207"/>
  <c r="D53" i="207"/>
  <c r="D52" i="207"/>
  <c r="D51" i="207"/>
  <c r="D50" i="207"/>
  <c r="K45" i="207"/>
  <c r="K44" i="207"/>
  <c r="K43" i="207"/>
  <c r="K42" i="207"/>
  <c r="K41" i="207"/>
  <c r="K40" i="207"/>
  <c r="K39" i="207"/>
  <c r="K38" i="207"/>
  <c r="K37" i="207"/>
  <c r="K36" i="207"/>
  <c r="K35" i="207"/>
  <c r="K34" i="207"/>
  <c r="K33" i="207"/>
  <c r="K32" i="207"/>
  <c r="K31" i="207"/>
  <c r="K30" i="207"/>
  <c r="K29" i="207"/>
  <c r="D45" i="207"/>
  <c r="D44" i="207"/>
  <c r="D43" i="207"/>
  <c r="D42" i="207"/>
  <c r="D41" i="207"/>
  <c r="D40" i="207"/>
  <c r="D39" i="207"/>
  <c r="D38" i="207"/>
  <c r="D37" i="207"/>
  <c r="D36" i="207"/>
  <c r="D35" i="207"/>
  <c r="D34" i="207"/>
  <c r="D33" i="207"/>
  <c r="D32" i="207"/>
  <c r="D31" i="207"/>
  <c r="D30" i="207"/>
  <c r="D29" i="207"/>
  <c r="K24" i="207"/>
  <c r="K23" i="207"/>
  <c r="K22" i="207"/>
  <c r="D24" i="207"/>
  <c r="D23" i="207"/>
  <c r="D22" i="207"/>
  <c r="K17" i="207"/>
  <c r="K16" i="207"/>
  <c r="D17" i="207"/>
  <c r="D16" i="207"/>
  <c r="E21" i="212"/>
  <c r="E20" i="212"/>
  <c r="O50" i="214"/>
  <c r="N50" i="214"/>
  <c r="M50" i="214"/>
  <c r="L50" i="214"/>
  <c r="K50" i="214"/>
  <c r="J50" i="214"/>
  <c r="I50" i="214"/>
  <c r="H50" i="214"/>
  <c r="G50" i="214"/>
  <c r="F50" i="214"/>
  <c r="E50" i="214"/>
  <c r="D50" i="214"/>
  <c r="C50" i="214"/>
  <c r="O48" i="214"/>
  <c r="N48" i="214"/>
  <c r="M48" i="214"/>
  <c r="L48" i="214"/>
  <c r="K48" i="214"/>
  <c r="J48" i="214"/>
  <c r="I48" i="214"/>
  <c r="H48" i="214"/>
  <c r="G48" i="214"/>
  <c r="F48" i="214"/>
  <c r="E48" i="214"/>
  <c r="D48" i="214"/>
  <c r="C48" i="214"/>
  <c r="O46" i="214"/>
  <c r="N46" i="214"/>
  <c r="M46" i="214"/>
  <c r="L46" i="214"/>
  <c r="K46" i="214"/>
  <c r="J46" i="214"/>
  <c r="I46" i="214"/>
  <c r="H46" i="214"/>
  <c r="G46" i="214"/>
  <c r="F46" i="214"/>
  <c r="E46" i="214"/>
  <c r="D46" i="214"/>
  <c r="C46" i="214"/>
  <c r="O44" i="214"/>
  <c r="N44" i="214"/>
  <c r="M44" i="214"/>
  <c r="L44" i="214"/>
  <c r="K44" i="214"/>
  <c r="J44" i="214"/>
  <c r="I44" i="214"/>
  <c r="H44" i="214"/>
  <c r="G44" i="214"/>
  <c r="F44" i="214"/>
  <c r="E44" i="214"/>
  <c r="D44" i="214"/>
  <c r="C44" i="214"/>
  <c r="O29" i="214"/>
  <c r="N29" i="214"/>
  <c r="M29" i="214"/>
  <c r="L29" i="214"/>
  <c r="K29" i="214"/>
  <c r="J29" i="214"/>
  <c r="I29" i="214"/>
  <c r="H29" i="214"/>
  <c r="G29" i="214"/>
  <c r="F29" i="214"/>
  <c r="E29" i="214"/>
  <c r="D29" i="214"/>
  <c r="C29" i="214"/>
  <c r="O28" i="214"/>
  <c r="N28" i="214"/>
  <c r="M28" i="214"/>
  <c r="L28" i="214"/>
  <c r="K28" i="214"/>
  <c r="J28" i="214"/>
  <c r="I28" i="214"/>
  <c r="H28" i="214"/>
  <c r="G28" i="214"/>
  <c r="F28" i="214"/>
  <c r="E28" i="214"/>
  <c r="D28" i="214"/>
  <c r="C28" i="214"/>
  <c r="O24" i="214"/>
  <c r="N24" i="214"/>
  <c r="M24" i="214"/>
  <c r="L24" i="214"/>
  <c r="K24" i="214"/>
  <c r="J24" i="214"/>
  <c r="I24" i="214"/>
  <c r="H24" i="214"/>
  <c r="G24" i="214"/>
  <c r="F24" i="214"/>
  <c r="E24" i="214"/>
  <c r="D24" i="214"/>
  <c r="C24" i="214"/>
  <c r="O23" i="214"/>
  <c r="N23" i="214"/>
  <c r="M23" i="214"/>
  <c r="L23" i="214"/>
  <c r="K23" i="214"/>
  <c r="J23" i="214"/>
  <c r="I23" i="214"/>
  <c r="H23" i="214"/>
  <c r="G23" i="214"/>
  <c r="F23" i="214"/>
  <c r="E23" i="214"/>
  <c r="D23" i="214"/>
  <c r="C23" i="214"/>
  <c r="O19" i="214"/>
  <c r="N19" i="214"/>
  <c r="M19" i="214"/>
  <c r="L19" i="214"/>
  <c r="K19" i="214"/>
  <c r="J19" i="214"/>
  <c r="I19" i="214"/>
  <c r="H19" i="214"/>
  <c r="G19" i="214"/>
  <c r="F19" i="214"/>
  <c r="E19" i="214"/>
  <c r="D19" i="214"/>
  <c r="C19" i="214"/>
  <c r="O18" i="214"/>
  <c r="N18" i="214"/>
  <c r="M18" i="214"/>
  <c r="L18" i="214"/>
  <c r="K18" i="214"/>
  <c r="J18" i="214"/>
  <c r="I18" i="214"/>
  <c r="H18" i="214"/>
  <c r="G18" i="214"/>
  <c r="F18" i="214"/>
  <c r="E18" i="214"/>
  <c r="D18" i="214"/>
  <c r="C18" i="214"/>
  <c r="O14" i="214"/>
  <c r="N14" i="214"/>
  <c r="M14" i="214"/>
  <c r="L14" i="214"/>
  <c r="K14" i="214"/>
  <c r="J14" i="214"/>
  <c r="I14" i="214"/>
  <c r="H14" i="214"/>
  <c r="G14" i="214"/>
  <c r="F14" i="214"/>
  <c r="E14" i="214"/>
  <c r="D14" i="214"/>
  <c r="C14" i="214"/>
  <c r="O13" i="214"/>
  <c r="N13" i="214"/>
  <c r="M13" i="214"/>
  <c r="L13" i="214"/>
  <c r="K13" i="214"/>
  <c r="J13" i="214"/>
  <c r="I13" i="214"/>
  <c r="H13" i="214"/>
  <c r="G13" i="214"/>
  <c r="F13" i="214"/>
  <c r="E13" i="214"/>
  <c r="D13" i="214"/>
  <c r="C13" i="214"/>
  <c r="O50" i="216"/>
  <c r="N50" i="216"/>
  <c r="M50" i="216"/>
  <c r="L50" i="216"/>
  <c r="K50" i="216"/>
  <c r="J50" i="216"/>
  <c r="I50" i="216"/>
  <c r="H50" i="216"/>
  <c r="G50" i="216"/>
  <c r="F50" i="216"/>
  <c r="E50" i="216"/>
  <c r="D50" i="216"/>
  <c r="C50" i="216"/>
  <c r="O48" i="216"/>
  <c r="N48" i="216"/>
  <c r="M48" i="216"/>
  <c r="L48" i="216"/>
  <c r="K48" i="216"/>
  <c r="J48" i="216"/>
  <c r="I48" i="216"/>
  <c r="H48" i="216"/>
  <c r="G48" i="216"/>
  <c r="F48" i="216"/>
  <c r="E48" i="216"/>
  <c r="D48" i="216"/>
  <c r="C48" i="216"/>
  <c r="O46" i="216"/>
  <c r="N46" i="216"/>
  <c r="M46" i="216"/>
  <c r="L46" i="216"/>
  <c r="K46" i="216"/>
  <c r="J46" i="216"/>
  <c r="I46" i="216"/>
  <c r="H46" i="216"/>
  <c r="G46" i="216"/>
  <c r="F46" i="216"/>
  <c r="E46" i="216"/>
  <c r="D46" i="216"/>
  <c r="C46" i="216"/>
  <c r="O44" i="216"/>
  <c r="N44" i="216"/>
  <c r="M44" i="216"/>
  <c r="L44" i="216"/>
  <c r="K44" i="216"/>
  <c r="J44" i="216"/>
  <c r="I44" i="216"/>
  <c r="H44" i="216"/>
  <c r="G44" i="216"/>
  <c r="F44" i="216"/>
  <c r="E44" i="216"/>
  <c r="D44" i="216"/>
  <c r="C44" i="216"/>
  <c r="O29" i="216"/>
  <c r="N29" i="216"/>
  <c r="M29" i="216"/>
  <c r="L29" i="216"/>
  <c r="K29" i="216"/>
  <c r="J29" i="216"/>
  <c r="I29" i="216"/>
  <c r="H29" i="216"/>
  <c r="G29" i="216"/>
  <c r="F29" i="216"/>
  <c r="E29" i="216"/>
  <c r="D29" i="216"/>
  <c r="C29" i="216"/>
  <c r="O28" i="216"/>
  <c r="N28" i="216"/>
  <c r="M28" i="216"/>
  <c r="L28" i="216"/>
  <c r="K28" i="216"/>
  <c r="J28" i="216"/>
  <c r="I28" i="216"/>
  <c r="H28" i="216"/>
  <c r="G28" i="216"/>
  <c r="F28" i="216"/>
  <c r="E28" i="216"/>
  <c r="D28" i="216"/>
  <c r="C28" i="216"/>
  <c r="O24" i="216"/>
  <c r="N24" i="216"/>
  <c r="M24" i="216"/>
  <c r="L24" i="216"/>
  <c r="K24" i="216"/>
  <c r="J24" i="216"/>
  <c r="I24" i="216"/>
  <c r="H24" i="216"/>
  <c r="G24" i="216"/>
  <c r="F24" i="216"/>
  <c r="E24" i="216"/>
  <c r="D24" i="216"/>
  <c r="C24" i="216"/>
  <c r="O23" i="216"/>
  <c r="N23" i="216"/>
  <c r="M23" i="216"/>
  <c r="L23" i="216"/>
  <c r="K23" i="216"/>
  <c r="J23" i="216"/>
  <c r="I23" i="216"/>
  <c r="H23" i="216"/>
  <c r="G23" i="216"/>
  <c r="F23" i="216"/>
  <c r="E23" i="216"/>
  <c r="D23" i="216"/>
  <c r="C23" i="216"/>
  <c r="O19" i="216"/>
  <c r="N19" i="216"/>
  <c r="M19" i="216"/>
  <c r="L19" i="216"/>
  <c r="K19" i="216"/>
  <c r="J19" i="216"/>
  <c r="I19" i="216"/>
  <c r="H19" i="216"/>
  <c r="G19" i="216"/>
  <c r="F19" i="216"/>
  <c r="E19" i="216"/>
  <c r="D19" i="216"/>
  <c r="C19" i="216"/>
  <c r="O18" i="216"/>
  <c r="N18" i="216"/>
  <c r="M18" i="216"/>
  <c r="L18" i="216"/>
  <c r="K18" i="216"/>
  <c r="J18" i="216"/>
  <c r="I18" i="216"/>
  <c r="H18" i="216"/>
  <c r="G18" i="216"/>
  <c r="F18" i="216"/>
  <c r="E18" i="216"/>
  <c r="D18" i="216"/>
  <c r="C18" i="216"/>
  <c r="O14" i="216"/>
  <c r="N14" i="216"/>
  <c r="M14" i="216"/>
  <c r="L14" i="216"/>
  <c r="K14" i="216"/>
  <c r="J14" i="216"/>
  <c r="I14" i="216"/>
  <c r="H14" i="216"/>
  <c r="G14" i="216"/>
  <c r="F14" i="216"/>
  <c r="E14" i="216"/>
  <c r="D14" i="216"/>
  <c r="C14" i="216"/>
  <c r="O13" i="216"/>
  <c r="N13" i="216"/>
  <c r="M13" i="216"/>
  <c r="L13" i="216"/>
  <c r="K13" i="216"/>
  <c r="J13" i="216"/>
  <c r="I13" i="216"/>
  <c r="H13" i="216"/>
  <c r="G13" i="216"/>
  <c r="F13" i="216"/>
  <c r="E13" i="216"/>
  <c r="D13" i="216"/>
  <c r="C13" i="216"/>
  <c r="E154" i="237"/>
  <c r="E153" i="237"/>
  <c r="E152" i="237"/>
  <c r="E97" i="237"/>
  <c r="E96" i="237"/>
  <c r="E95" i="237"/>
  <c r="E94" i="237"/>
  <c r="E93" i="237"/>
  <c r="R132" i="10"/>
  <c r="Q132" i="10"/>
  <c r="P132" i="10"/>
  <c r="O132" i="10"/>
  <c r="N132" i="10"/>
  <c r="M132" i="10"/>
  <c r="L132" i="10"/>
  <c r="K132" i="10"/>
  <c r="J132" i="10"/>
  <c r="I132" i="10"/>
  <c r="R130" i="10"/>
  <c r="Q130" i="10"/>
  <c r="P130" i="10"/>
  <c r="O130" i="10"/>
  <c r="N130" i="10"/>
  <c r="M130" i="10"/>
  <c r="L130" i="10"/>
  <c r="K130" i="10"/>
  <c r="J130" i="10"/>
  <c r="I130" i="10"/>
  <c r="R122" i="10"/>
  <c r="Q122" i="10"/>
  <c r="P122" i="10"/>
  <c r="O122" i="10"/>
  <c r="N122" i="10"/>
  <c r="M122" i="10"/>
  <c r="L122" i="10"/>
  <c r="K122" i="10"/>
  <c r="J122" i="10"/>
  <c r="I122" i="10"/>
  <c r="R121" i="10"/>
  <c r="Q121" i="10"/>
  <c r="P121" i="10"/>
  <c r="O121" i="10"/>
  <c r="N121" i="10"/>
  <c r="M121" i="10"/>
  <c r="L121" i="10"/>
  <c r="K121" i="10"/>
  <c r="J121" i="10"/>
  <c r="I121" i="10"/>
  <c r="R120" i="10"/>
  <c r="Q120" i="10"/>
  <c r="P120" i="10"/>
  <c r="O120" i="10"/>
  <c r="N120" i="10"/>
  <c r="M120" i="10"/>
  <c r="L120" i="10"/>
  <c r="K120" i="10"/>
  <c r="J120" i="10"/>
  <c r="I120" i="10"/>
  <c r="R119" i="10"/>
  <c r="Q119" i="10"/>
  <c r="P119" i="10"/>
  <c r="O119" i="10"/>
  <c r="N119" i="10"/>
  <c r="M119" i="10"/>
  <c r="L119" i="10"/>
  <c r="K119" i="10"/>
  <c r="J119" i="10"/>
  <c r="I119" i="10"/>
  <c r="R115" i="10"/>
  <c r="Q115" i="10"/>
  <c r="P115" i="10"/>
  <c r="O115" i="10"/>
  <c r="N115" i="10"/>
  <c r="M115" i="10"/>
  <c r="L115" i="10"/>
  <c r="K115" i="10"/>
  <c r="J115" i="10"/>
  <c r="I115" i="10"/>
  <c r="R114" i="10"/>
  <c r="Q114" i="10"/>
  <c r="P114" i="10"/>
  <c r="O114" i="10"/>
  <c r="N114" i="10"/>
  <c r="M114" i="10"/>
  <c r="L114" i="10"/>
  <c r="K114" i="10"/>
  <c r="J114" i="10"/>
  <c r="I114" i="10"/>
  <c r="R113" i="10"/>
  <c r="Q113" i="10"/>
  <c r="P113" i="10"/>
  <c r="O113" i="10"/>
  <c r="N113" i="10"/>
  <c r="M113" i="10"/>
  <c r="L113" i="10"/>
  <c r="K113" i="10"/>
  <c r="J113" i="10"/>
  <c r="I113" i="10"/>
  <c r="R108" i="10"/>
  <c r="Q108" i="10"/>
  <c r="P108" i="10"/>
  <c r="O108" i="10"/>
  <c r="N108" i="10"/>
  <c r="M108" i="10"/>
  <c r="L108" i="10"/>
  <c r="K108" i="10"/>
  <c r="J108" i="10"/>
  <c r="I108" i="10"/>
  <c r="R107" i="10"/>
  <c r="Q107" i="10"/>
  <c r="P107" i="10"/>
  <c r="O107" i="10"/>
  <c r="N107" i="10"/>
  <c r="M107" i="10"/>
  <c r="L107" i="10"/>
  <c r="K107" i="10"/>
  <c r="J107" i="10"/>
  <c r="I107" i="10"/>
  <c r="R106" i="10"/>
  <c r="Q106" i="10"/>
  <c r="P106" i="10"/>
  <c r="O106" i="10"/>
  <c r="N106" i="10"/>
  <c r="M106" i="10"/>
  <c r="L106" i="10"/>
  <c r="K106" i="10"/>
  <c r="J106" i="10"/>
  <c r="I106" i="10"/>
  <c r="R105" i="10"/>
  <c r="Q105" i="10"/>
  <c r="P105" i="10"/>
  <c r="O105" i="10"/>
  <c r="N105" i="10"/>
  <c r="M105" i="10"/>
  <c r="L105" i="10"/>
  <c r="K105" i="10"/>
  <c r="J105" i="10"/>
  <c r="I105" i="10"/>
  <c r="R104" i="10"/>
  <c r="Q104" i="10"/>
  <c r="P104" i="10"/>
  <c r="O104" i="10"/>
  <c r="N104" i="10"/>
  <c r="M104" i="10"/>
  <c r="L104" i="10"/>
  <c r="K104" i="10"/>
  <c r="J104" i="10"/>
  <c r="I104" i="10"/>
  <c r="R103" i="10"/>
  <c r="Q103" i="10"/>
  <c r="P103" i="10"/>
  <c r="O103" i="10"/>
  <c r="N103" i="10"/>
  <c r="M103" i="10"/>
  <c r="L103" i="10"/>
  <c r="K103" i="10"/>
  <c r="J103" i="10"/>
  <c r="I103" i="10"/>
  <c r="R102" i="10"/>
  <c r="Q102" i="10"/>
  <c r="P102" i="10"/>
  <c r="O102" i="10"/>
  <c r="N102" i="10"/>
  <c r="M102" i="10"/>
  <c r="L102" i="10"/>
  <c r="K102" i="10"/>
  <c r="J102" i="10"/>
  <c r="I102" i="10"/>
  <c r="R101" i="10"/>
  <c r="Q101" i="10"/>
  <c r="P101" i="10"/>
  <c r="O101" i="10"/>
  <c r="N101" i="10"/>
  <c r="M101" i="10"/>
  <c r="L101" i="10"/>
  <c r="K101" i="10"/>
  <c r="J101" i="10"/>
  <c r="I101" i="10"/>
  <c r="R100" i="10"/>
  <c r="Q100" i="10"/>
  <c r="P100" i="10"/>
  <c r="O100" i="10"/>
  <c r="N100" i="10"/>
  <c r="M100" i="10"/>
  <c r="L100" i="10"/>
  <c r="K100" i="10"/>
  <c r="J100" i="10"/>
  <c r="I100" i="10"/>
  <c r="R96" i="10"/>
  <c r="Q96" i="10"/>
  <c r="P96" i="10"/>
  <c r="O96" i="10"/>
  <c r="N96" i="10"/>
  <c r="M96" i="10"/>
  <c r="L96" i="10"/>
  <c r="K96" i="10"/>
  <c r="J96" i="10"/>
  <c r="I96" i="10"/>
  <c r="R95" i="10"/>
  <c r="Q95" i="10"/>
  <c r="P95" i="10"/>
  <c r="O95" i="10"/>
  <c r="N95" i="10"/>
  <c r="M95" i="10"/>
  <c r="L95" i="10"/>
  <c r="K95" i="10"/>
  <c r="J95" i="10"/>
  <c r="I95" i="10"/>
  <c r="R94" i="10"/>
  <c r="Q94" i="10"/>
  <c r="P94" i="10"/>
  <c r="O94" i="10"/>
  <c r="N94" i="10"/>
  <c r="M94" i="10"/>
  <c r="L94" i="10"/>
  <c r="K94" i="10"/>
  <c r="J94" i="10"/>
  <c r="I94" i="10"/>
  <c r="R93" i="10"/>
  <c r="Q93" i="10"/>
  <c r="P93" i="10"/>
  <c r="O93" i="10"/>
  <c r="N93" i="10"/>
  <c r="M93" i="10"/>
  <c r="L93" i="10"/>
  <c r="K93" i="10"/>
  <c r="J93" i="10"/>
  <c r="I93" i="10"/>
  <c r="R91" i="10"/>
  <c r="Q91" i="10"/>
  <c r="P91" i="10"/>
  <c r="O91" i="10"/>
  <c r="N91" i="10"/>
  <c r="M91" i="10"/>
  <c r="L91" i="10"/>
  <c r="K91" i="10"/>
  <c r="J91" i="10"/>
  <c r="I91" i="10"/>
  <c r="R86" i="10"/>
  <c r="Q86" i="10"/>
  <c r="P86" i="10"/>
  <c r="O86" i="10"/>
  <c r="N86" i="10"/>
  <c r="M86" i="10"/>
  <c r="L86" i="10"/>
  <c r="K86" i="10"/>
  <c r="J86" i="10"/>
  <c r="I86" i="10"/>
  <c r="H86" i="10"/>
  <c r="R85" i="10"/>
  <c r="Q85" i="10"/>
  <c r="P85" i="10"/>
  <c r="O85" i="10"/>
  <c r="N85" i="10"/>
  <c r="M85" i="10"/>
  <c r="L85" i="10"/>
  <c r="K85" i="10"/>
  <c r="J85" i="10"/>
  <c r="I85" i="10"/>
  <c r="H85" i="10"/>
  <c r="R82" i="10"/>
  <c r="Q82" i="10"/>
  <c r="P82" i="10"/>
  <c r="O82" i="10"/>
  <c r="N82" i="10"/>
  <c r="M82" i="10"/>
  <c r="L82" i="10"/>
  <c r="K82" i="10"/>
  <c r="J82" i="10"/>
  <c r="I82" i="10"/>
  <c r="R80" i="10"/>
  <c r="Q80" i="10"/>
  <c r="P80" i="10"/>
  <c r="O80" i="10"/>
  <c r="N80" i="10"/>
  <c r="M80" i="10"/>
  <c r="L80" i="10"/>
  <c r="K80" i="10"/>
  <c r="J80" i="10"/>
  <c r="I80" i="10"/>
  <c r="R79" i="10"/>
  <c r="Q79" i="10"/>
  <c r="P79" i="10"/>
  <c r="O79" i="10"/>
  <c r="N79" i="10"/>
  <c r="M79" i="10"/>
  <c r="L79" i="10"/>
  <c r="K79" i="10"/>
  <c r="J79" i="10"/>
  <c r="I79" i="10"/>
  <c r="R78" i="10"/>
  <c r="Q78" i="10"/>
  <c r="P78" i="10"/>
  <c r="O78" i="10"/>
  <c r="N78" i="10"/>
  <c r="M78" i="10"/>
  <c r="L78" i="10"/>
  <c r="K78" i="10"/>
  <c r="J78" i="10"/>
  <c r="I78" i="10"/>
  <c r="R77" i="10"/>
  <c r="Q77" i="10"/>
  <c r="P77" i="10"/>
  <c r="O77" i="10"/>
  <c r="N77" i="10"/>
  <c r="M77" i="10"/>
  <c r="L77" i="10"/>
  <c r="K77" i="10"/>
  <c r="J77" i="10"/>
  <c r="I77" i="10"/>
  <c r="R76" i="10"/>
  <c r="Q76" i="10"/>
  <c r="P76" i="10"/>
  <c r="O76" i="10"/>
  <c r="N76" i="10"/>
  <c r="M76" i="10"/>
  <c r="L76" i="10"/>
  <c r="K76" i="10"/>
  <c r="J76" i="10"/>
  <c r="I76" i="10"/>
  <c r="R72" i="10"/>
  <c r="Q72" i="10"/>
  <c r="P72" i="10"/>
  <c r="O72" i="10"/>
  <c r="N72" i="10"/>
  <c r="M72" i="10"/>
  <c r="L72" i="10"/>
  <c r="K72" i="10"/>
  <c r="J72" i="10"/>
  <c r="I72" i="10"/>
  <c r="R71" i="10"/>
  <c r="Q71" i="10"/>
  <c r="P71" i="10"/>
  <c r="O71" i="10"/>
  <c r="N71" i="10"/>
  <c r="M71" i="10"/>
  <c r="L71" i="10"/>
  <c r="K71" i="10"/>
  <c r="J71" i="10"/>
  <c r="I71" i="10"/>
  <c r="R59" i="10"/>
  <c r="Q59" i="10"/>
  <c r="P59" i="10"/>
  <c r="O59" i="10"/>
  <c r="N59" i="10"/>
  <c r="M59" i="10"/>
  <c r="L59" i="10"/>
  <c r="K59" i="10"/>
  <c r="J59" i="10"/>
  <c r="I59" i="10"/>
  <c r="R57" i="10"/>
  <c r="Q57" i="10"/>
  <c r="P57" i="10"/>
  <c r="O57" i="10"/>
  <c r="N57" i="10"/>
  <c r="M57" i="10"/>
  <c r="L57" i="10"/>
  <c r="K57" i="10"/>
  <c r="J57" i="10"/>
  <c r="I57" i="10"/>
  <c r="R56" i="10"/>
  <c r="Q56" i="10"/>
  <c r="P56" i="10"/>
  <c r="O56" i="10"/>
  <c r="N56" i="10"/>
  <c r="M56" i="10"/>
  <c r="L56" i="10"/>
  <c r="K56" i="10"/>
  <c r="J56" i="10"/>
  <c r="I56" i="10"/>
  <c r="R54" i="10"/>
  <c r="Q54" i="10"/>
  <c r="P54" i="10"/>
  <c r="O54" i="10"/>
  <c r="N54" i="10"/>
  <c r="M54" i="10"/>
  <c r="L54" i="10"/>
  <c r="K54" i="10"/>
  <c r="J54" i="10"/>
  <c r="I54" i="10"/>
  <c r="R53" i="10"/>
  <c r="Q53" i="10"/>
  <c r="P53" i="10"/>
  <c r="O53" i="10"/>
  <c r="N53" i="10"/>
  <c r="M53" i="10"/>
  <c r="L53" i="10"/>
  <c r="K53" i="10"/>
  <c r="J53" i="10"/>
  <c r="I53" i="10"/>
  <c r="R50" i="10"/>
  <c r="Q50" i="10"/>
  <c r="P50" i="10"/>
  <c r="O50" i="10"/>
  <c r="N50" i="10"/>
  <c r="M50" i="10"/>
  <c r="L50" i="10"/>
  <c r="K50" i="10"/>
  <c r="J50" i="10"/>
  <c r="I50" i="10"/>
  <c r="R48" i="10"/>
  <c r="Q48" i="10"/>
  <c r="P48" i="10"/>
  <c r="O48" i="10"/>
  <c r="N48" i="10"/>
  <c r="M48" i="10"/>
  <c r="L48" i="10"/>
  <c r="K48" i="10"/>
  <c r="J48" i="10"/>
  <c r="I48" i="10"/>
  <c r="R43" i="10"/>
  <c r="Q43" i="10"/>
  <c r="P43" i="10"/>
  <c r="O43" i="10"/>
  <c r="N43" i="10"/>
  <c r="M43" i="10"/>
  <c r="L43" i="10"/>
  <c r="K43" i="10"/>
  <c r="J43" i="10"/>
  <c r="I43" i="10"/>
  <c r="R42" i="10"/>
  <c r="Q42" i="10"/>
  <c r="P42" i="10"/>
  <c r="O42" i="10"/>
  <c r="N42" i="10"/>
  <c r="M42" i="10"/>
  <c r="L42" i="10"/>
  <c r="K42" i="10"/>
  <c r="J42" i="10"/>
  <c r="I42" i="10"/>
  <c r="R41" i="10"/>
  <c r="Q41" i="10"/>
  <c r="P41" i="10"/>
  <c r="O41" i="10"/>
  <c r="N41" i="10"/>
  <c r="M41" i="10"/>
  <c r="L41" i="10"/>
  <c r="K41" i="10"/>
  <c r="J41" i="10"/>
  <c r="I41" i="10"/>
  <c r="R40" i="10"/>
  <c r="Q40" i="10"/>
  <c r="P40" i="10"/>
  <c r="O40" i="10"/>
  <c r="N40" i="10"/>
  <c r="M40" i="10"/>
  <c r="L40" i="10"/>
  <c r="K40" i="10"/>
  <c r="J40" i="10"/>
  <c r="I40" i="10"/>
  <c r="R29" i="10"/>
  <c r="Q29" i="10"/>
  <c r="P29" i="10"/>
  <c r="O29" i="10"/>
  <c r="N29" i="10"/>
  <c r="M29" i="10"/>
  <c r="L29" i="10"/>
  <c r="K29" i="10"/>
  <c r="J29" i="10"/>
  <c r="I29" i="10"/>
  <c r="R26" i="10"/>
  <c r="Q26" i="10"/>
  <c r="P26" i="10"/>
  <c r="O26" i="10"/>
  <c r="N26" i="10"/>
  <c r="M26" i="10"/>
  <c r="L26" i="10"/>
  <c r="K26" i="10"/>
  <c r="J26" i="10"/>
  <c r="I26" i="10"/>
  <c r="R23" i="10"/>
  <c r="Q23" i="10"/>
  <c r="P23" i="10"/>
  <c r="O23" i="10"/>
  <c r="N23" i="10"/>
  <c r="M23" i="10"/>
  <c r="L23" i="10"/>
  <c r="K23" i="10"/>
  <c r="J23" i="10"/>
  <c r="I23" i="10"/>
  <c r="R22" i="10"/>
  <c r="Q22" i="10"/>
  <c r="P22" i="10"/>
  <c r="O22" i="10"/>
  <c r="N22" i="10"/>
  <c r="M22" i="10"/>
  <c r="L22" i="10"/>
  <c r="K22" i="10"/>
  <c r="J22" i="10"/>
  <c r="I22" i="10"/>
  <c r="R21" i="10"/>
  <c r="Q21" i="10"/>
  <c r="P21" i="10"/>
  <c r="O21" i="10"/>
  <c r="N21" i="10"/>
  <c r="M21" i="10"/>
  <c r="L21" i="10"/>
  <c r="K21" i="10"/>
  <c r="J21" i="10"/>
  <c r="I21" i="10"/>
  <c r="R20" i="10"/>
  <c r="Q20" i="10"/>
  <c r="P20" i="10"/>
  <c r="O20" i="10"/>
  <c r="N20" i="10"/>
  <c r="M20" i="10"/>
  <c r="L20" i="10"/>
  <c r="K20" i="10"/>
  <c r="J20" i="10"/>
  <c r="I20" i="10"/>
  <c r="R19" i="10"/>
  <c r="Q19" i="10"/>
  <c r="P19" i="10"/>
  <c r="O19" i="10"/>
  <c r="N19" i="10"/>
  <c r="M19" i="10"/>
  <c r="L19" i="10"/>
  <c r="K19" i="10"/>
  <c r="J19" i="10"/>
  <c r="I19" i="10"/>
  <c r="R18" i="10"/>
  <c r="Q18" i="10"/>
  <c r="P18" i="10"/>
  <c r="O18" i="10"/>
  <c r="N18" i="10"/>
  <c r="M18" i="10"/>
  <c r="L18" i="10"/>
  <c r="K18" i="10"/>
  <c r="J18" i="10"/>
  <c r="I18" i="10"/>
  <c r="R17" i="10"/>
  <c r="Q17" i="10"/>
  <c r="P17" i="10"/>
  <c r="O17" i="10"/>
  <c r="N17" i="10"/>
  <c r="M17" i="10"/>
  <c r="L17" i="10"/>
  <c r="K17" i="10"/>
  <c r="J17" i="10"/>
  <c r="I17" i="10"/>
  <c r="I27" i="8"/>
  <c r="G24" i="8"/>
  <c r="G23" i="8"/>
  <c r="G22" i="8"/>
  <c r="G21" i="8"/>
  <c r="G20" i="8"/>
  <c r="G19" i="8"/>
  <c r="G18" i="8"/>
  <c r="G17" i="8"/>
  <c r="G16" i="8"/>
  <c r="E28" i="99"/>
  <c r="P25" i="202"/>
  <c r="H25" i="202"/>
  <c r="E28" i="8"/>
  <c r="E24" i="8"/>
  <c r="E23" i="8"/>
  <c r="E22" i="8"/>
  <c r="E21" i="8"/>
  <c r="E20" i="8"/>
  <c r="E19" i="8"/>
  <c r="E18" i="8"/>
  <c r="E17" i="8"/>
  <c r="E16" i="8"/>
  <c r="J18" i="5"/>
  <c r="J16" i="5"/>
  <c r="F16" i="5"/>
  <c r="K19" i="39"/>
  <c r="J19" i="39"/>
  <c r="I19" i="39"/>
  <c r="H19" i="39"/>
  <c r="G19" i="39"/>
  <c r="K18" i="39"/>
  <c r="J18" i="39"/>
  <c r="I18" i="39"/>
  <c r="H18" i="39"/>
  <c r="G18" i="39"/>
  <c r="K17" i="39"/>
  <c r="J17" i="39"/>
  <c r="I17" i="39"/>
  <c r="H17" i="39"/>
  <c r="G17" i="39"/>
  <c r="K16" i="39"/>
  <c r="J16" i="39"/>
  <c r="I16" i="39"/>
  <c r="H16" i="39"/>
  <c r="G16" i="39"/>
  <c r="K28" i="41"/>
  <c r="J28" i="41"/>
  <c r="I28" i="41"/>
  <c r="H28" i="41"/>
  <c r="G28" i="41"/>
  <c r="K27" i="41"/>
  <c r="J27" i="41"/>
  <c r="I27" i="41"/>
  <c r="H27" i="41"/>
  <c r="G27" i="41"/>
  <c r="K26" i="41"/>
  <c r="J26" i="41"/>
  <c r="I26" i="41"/>
  <c r="H26" i="41"/>
  <c r="G26" i="41"/>
  <c r="K25" i="41"/>
  <c r="J25" i="41"/>
  <c r="I25" i="41"/>
  <c r="H25" i="41"/>
  <c r="G25" i="41"/>
  <c r="K19" i="41"/>
  <c r="J19" i="41"/>
  <c r="I19" i="41"/>
  <c r="H19" i="41"/>
  <c r="G19" i="41"/>
  <c r="K18" i="41"/>
  <c r="J18" i="41"/>
  <c r="I18" i="41"/>
  <c r="H18" i="41"/>
  <c r="G18" i="41"/>
  <c r="K17" i="41"/>
  <c r="J17" i="41"/>
  <c r="I17" i="41"/>
  <c r="H17" i="41"/>
  <c r="G17" i="41"/>
  <c r="K16" i="41"/>
  <c r="J16" i="41"/>
  <c r="I16" i="41"/>
  <c r="H16" i="41"/>
  <c r="G16" i="41"/>
  <c r="H42" i="42"/>
  <c r="G42" i="42"/>
  <c r="F42" i="42"/>
  <c r="E42" i="42"/>
  <c r="D42" i="42"/>
  <c r="H40" i="42"/>
  <c r="G40" i="42"/>
  <c r="F40" i="42"/>
  <c r="E40" i="42"/>
  <c r="D40" i="42"/>
  <c r="H36" i="42"/>
  <c r="G36" i="42"/>
  <c r="F36" i="42"/>
  <c r="E36" i="42"/>
  <c r="D36" i="42"/>
  <c r="H35" i="42"/>
  <c r="G35" i="42"/>
  <c r="F35" i="42"/>
  <c r="E35" i="42"/>
  <c r="D35" i="42"/>
  <c r="H34" i="42"/>
  <c r="G34" i="42"/>
  <c r="F34" i="42"/>
  <c r="E34" i="42"/>
  <c r="D34" i="42"/>
  <c r="H28" i="42"/>
  <c r="G28" i="42"/>
  <c r="F28" i="42"/>
  <c r="E28" i="42"/>
  <c r="D28" i="42"/>
  <c r="H27" i="42"/>
  <c r="G27" i="42"/>
  <c r="F27" i="42"/>
  <c r="E27" i="42"/>
  <c r="D27" i="42"/>
  <c r="H26" i="42"/>
  <c r="G26" i="42"/>
  <c r="F26" i="42"/>
  <c r="E26" i="42"/>
  <c r="D26" i="42"/>
  <c r="H25" i="42"/>
  <c r="G25" i="42"/>
  <c r="F25" i="42"/>
  <c r="E25" i="42"/>
  <c r="D25" i="42"/>
  <c r="H21" i="42"/>
  <c r="G21" i="42"/>
  <c r="F21" i="42"/>
  <c r="E21" i="42"/>
  <c r="D21" i="42"/>
  <c r="H18" i="42"/>
  <c r="G18" i="42"/>
  <c r="F18" i="42"/>
  <c r="E18" i="42"/>
  <c r="D18" i="42"/>
  <c r="H17" i="42"/>
  <c r="G17" i="42"/>
  <c r="F17" i="42"/>
  <c r="E17" i="42"/>
  <c r="D17" i="42"/>
  <c r="H16" i="42"/>
  <c r="G16" i="42"/>
  <c r="F16" i="42"/>
  <c r="E16" i="42"/>
  <c r="D16" i="42"/>
  <c r="E21" i="37"/>
  <c r="D21" i="37"/>
  <c r="K30" i="34"/>
  <c r="K29" i="34"/>
  <c r="K28" i="34"/>
  <c r="G30" i="34"/>
  <c r="G29" i="34"/>
  <c r="G28" i="34"/>
  <c r="F24" i="34"/>
  <c r="E24" i="34"/>
  <c r="F23" i="34"/>
  <c r="E23" i="34"/>
  <c r="F22" i="34"/>
  <c r="E22" i="34"/>
  <c r="G19" i="34"/>
  <c r="G18" i="34"/>
  <c r="C23" i="36"/>
  <c r="C22" i="36"/>
  <c r="C21" i="36"/>
  <c r="C20" i="36"/>
  <c r="F18" i="249"/>
  <c r="F16" i="249"/>
  <c r="J45" i="230"/>
  <c r="I45" i="230"/>
  <c r="H45" i="230"/>
  <c r="G45" i="230"/>
  <c r="F45" i="230"/>
  <c r="E45" i="230"/>
  <c r="D45" i="230"/>
  <c r="P43" i="233"/>
  <c r="O43" i="233"/>
  <c r="N43" i="233"/>
  <c r="M43" i="233"/>
  <c r="L43" i="233"/>
  <c r="K43" i="233"/>
  <c r="J43" i="233"/>
  <c r="I43" i="233"/>
  <c r="H43" i="233"/>
  <c r="G43" i="233"/>
  <c r="F43" i="233"/>
  <c r="E43" i="233"/>
  <c r="D43" i="233"/>
  <c r="P41" i="233"/>
  <c r="O41" i="233"/>
  <c r="N41" i="233"/>
  <c r="M41" i="233"/>
  <c r="L41" i="233"/>
  <c r="K41" i="233"/>
  <c r="J41" i="233"/>
  <c r="I41" i="233"/>
  <c r="H41" i="233"/>
  <c r="G41" i="233"/>
  <c r="F41" i="233"/>
  <c r="E41" i="233"/>
  <c r="D41" i="233"/>
  <c r="P39" i="233"/>
  <c r="O39" i="233"/>
  <c r="N39" i="233"/>
  <c r="M39" i="233"/>
  <c r="L39" i="233"/>
  <c r="K39" i="233"/>
  <c r="J39" i="233"/>
  <c r="I39" i="233"/>
  <c r="H39" i="233"/>
  <c r="G39" i="233"/>
  <c r="F39" i="233"/>
  <c r="E39" i="233"/>
  <c r="D39" i="233"/>
  <c r="P43" i="230"/>
  <c r="O43" i="230"/>
  <c r="N43" i="230"/>
  <c r="M43" i="230"/>
  <c r="L43" i="230"/>
  <c r="K43" i="230"/>
  <c r="J43" i="230"/>
  <c r="I43" i="230"/>
  <c r="H43" i="230"/>
  <c r="G43" i="230"/>
  <c r="F43" i="230"/>
  <c r="E43" i="230"/>
  <c r="D43" i="230"/>
  <c r="P41" i="230"/>
  <c r="O41" i="230"/>
  <c r="N41" i="230"/>
  <c r="M41" i="230"/>
  <c r="L41" i="230"/>
  <c r="K41" i="230"/>
  <c r="J41" i="230"/>
  <c r="I41" i="230"/>
  <c r="H41" i="230"/>
  <c r="G41" i="230"/>
  <c r="F41" i="230"/>
  <c r="E41" i="230"/>
  <c r="D41" i="230"/>
  <c r="P39" i="230"/>
  <c r="O39" i="230"/>
  <c r="N39" i="230"/>
  <c r="M39" i="230"/>
  <c r="L39" i="230"/>
  <c r="K39" i="230"/>
  <c r="J39" i="230"/>
  <c r="I39" i="230"/>
  <c r="H39" i="230"/>
  <c r="G39" i="230"/>
  <c r="F39" i="230"/>
  <c r="E39" i="230"/>
  <c r="D39" i="230"/>
  <c r="P34" i="233"/>
  <c r="O34" i="233"/>
  <c r="N34" i="233"/>
  <c r="M34" i="233"/>
  <c r="L34" i="233"/>
  <c r="K34" i="233"/>
  <c r="J34" i="233"/>
  <c r="I34" i="233"/>
  <c r="H34" i="233"/>
  <c r="G34" i="233"/>
  <c r="F34" i="233"/>
  <c r="E34" i="233"/>
  <c r="D34" i="233"/>
  <c r="P32" i="233"/>
  <c r="O32" i="233"/>
  <c r="N32" i="233"/>
  <c r="M32" i="233"/>
  <c r="L32" i="233"/>
  <c r="K32" i="233"/>
  <c r="J32" i="233"/>
  <c r="I32" i="233"/>
  <c r="H32" i="233"/>
  <c r="G32" i="233"/>
  <c r="F32" i="233"/>
  <c r="E32" i="233"/>
  <c r="D32" i="233"/>
  <c r="P30" i="233"/>
  <c r="O30" i="233"/>
  <c r="N30" i="233"/>
  <c r="M30" i="233"/>
  <c r="L30" i="233"/>
  <c r="K30" i="233"/>
  <c r="J30" i="233"/>
  <c r="I30" i="233"/>
  <c r="H30" i="233"/>
  <c r="G30" i="233"/>
  <c r="F30" i="233"/>
  <c r="E30" i="233"/>
  <c r="D30" i="233"/>
  <c r="P34" i="230"/>
  <c r="O34" i="230"/>
  <c r="N34" i="230"/>
  <c r="M34" i="230"/>
  <c r="L34" i="230"/>
  <c r="K34" i="230"/>
  <c r="J34" i="230"/>
  <c r="I34" i="230"/>
  <c r="H34" i="230"/>
  <c r="G34" i="230"/>
  <c r="F34" i="230"/>
  <c r="E34" i="230"/>
  <c r="D34" i="230"/>
  <c r="P32" i="230"/>
  <c r="O32" i="230"/>
  <c r="N32" i="230"/>
  <c r="M32" i="230"/>
  <c r="L32" i="230"/>
  <c r="K32" i="230"/>
  <c r="J32" i="230"/>
  <c r="I32" i="230"/>
  <c r="H32" i="230"/>
  <c r="G32" i="230"/>
  <c r="F32" i="230"/>
  <c r="E32" i="230"/>
  <c r="D32" i="230"/>
  <c r="P30" i="230"/>
  <c r="O30" i="230"/>
  <c r="N30" i="230"/>
  <c r="M30" i="230"/>
  <c r="L30" i="230"/>
  <c r="K30" i="230"/>
  <c r="J30" i="230"/>
  <c r="I30" i="230"/>
  <c r="H30" i="230"/>
  <c r="G30" i="230"/>
  <c r="F30" i="230"/>
  <c r="E30" i="230"/>
  <c r="D30" i="230"/>
  <c r="P26" i="233"/>
  <c r="O26" i="233"/>
  <c r="N26" i="233"/>
  <c r="M26" i="233"/>
  <c r="L26" i="233"/>
  <c r="K26" i="233"/>
  <c r="J26" i="233"/>
  <c r="I26" i="233"/>
  <c r="H26" i="233"/>
  <c r="G26" i="233"/>
  <c r="F26" i="233"/>
  <c r="E26" i="233"/>
  <c r="D26" i="233"/>
  <c r="P24" i="233"/>
  <c r="O24" i="233"/>
  <c r="N24" i="233"/>
  <c r="M24" i="233"/>
  <c r="L24" i="233"/>
  <c r="K24" i="233"/>
  <c r="J24" i="233"/>
  <c r="I24" i="233"/>
  <c r="H24" i="233"/>
  <c r="G24" i="233"/>
  <c r="F24" i="233"/>
  <c r="E24" i="233"/>
  <c r="D24" i="233"/>
  <c r="P22" i="233"/>
  <c r="O22" i="233"/>
  <c r="N22" i="233"/>
  <c r="M22" i="233"/>
  <c r="L22" i="233"/>
  <c r="K22" i="233"/>
  <c r="J22" i="233"/>
  <c r="I22" i="233"/>
  <c r="H22" i="233"/>
  <c r="G22" i="233"/>
  <c r="F22" i="233"/>
  <c r="E22" i="233"/>
  <c r="D22" i="233"/>
  <c r="P26" i="230"/>
  <c r="O26" i="230"/>
  <c r="N26" i="230"/>
  <c r="M26" i="230"/>
  <c r="L26" i="230"/>
  <c r="K26" i="230"/>
  <c r="J26" i="230"/>
  <c r="I26" i="230"/>
  <c r="H26" i="230"/>
  <c r="G26" i="230"/>
  <c r="F26" i="230"/>
  <c r="E26" i="230"/>
  <c r="D26" i="230"/>
  <c r="P24" i="230"/>
  <c r="O24" i="230"/>
  <c r="N24" i="230"/>
  <c r="M24" i="230"/>
  <c r="L24" i="230"/>
  <c r="K24" i="230"/>
  <c r="J24" i="230"/>
  <c r="I24" i="230"/>
  <c r="H24" i="230"/>
  <c r="G24" i="230"/>
  <c r="F24" i="230"/>
  <c r="E24" i="230"/>
  <c r="D24" i="230"/>
  <c r="P22" i="230"/>
  <c r="O22" i="230"/>
  <c r="N22" i="230"/>
  <c r="M22" i="230"/>
  <c r="L22" i="230"/>
  <c r="K22" i="230"/>
  <c r="J22" i="230"/>
  <c r="I22" i="230"/>
  <c r="H22" i="230"/>
  <c r="G22" i="230"/>
  <c r="F22" i="230"/>
  <c r="E22" i="230"/>
  <c r="D22" i="230"/>
  <c r="P17" i="233"/>
  <c r="O17" i="233"/>
  <c r="N17" i="233"/>
  <c r="M17" i="233"/>
  <c r="L17" i="233"/>
  <c r="K17" i="233"/>
  <c r="J17" i="233"/>
  <c r="I17" i="233"/>
  <c r="H17" i="233"/>
  <c r="G17" i="233"/>
  <c r="F17" i="233"/>
  <c r="E17" i="233"/>
  <c r="D17" i="233"/>
  <c r="P15" i="233"/>
  <c r="O15" i="233"/>
  <c r="N15" i="233"/>
  <c r="M15" i="233"/>
  <c r="L15" i="233"/>
  <c r="K15" i="233"/>
  <c r="J15" i="233"/>
  <c r="I15" i="233"/>
  <c r="H15" i="233"/>
  <c r="G15" i="233"/>
  <c r="F15" i="233"/>
  <c r="E15" i="233"/>
  <c r="D15" i="233"/>
  <c r="P13" i="233"/>
  <c r="O13" i="233"/>
  <c r="N13" i="233"/>
  <c r="M13" i="233"/>
  <c r="L13" i="233"/>
  <c r="K13" i="233"/>
  <c r="J13" i="233"/>
  <c r="I13" i="233"/>
  <c r="H13" i="233"/>
  <c r="G13" i="233"/>
  <c r="F13" i="233"/>
  <c r="E13" i="233"/>
  <c r="D13" i="233"/>
  <c r="P17" i="230"/>
  <c r="O17" i="230"/>
  <c r="N17" i="230"/>
  <c r="M17" i="230"/>
  <c r="L17" i="230"/>
  <c r="K17" i="230"/>
  <c r="J17" i="230"/>
  <c r="I17" i="230"/>
  <c r="H17" i="230"/>
  <c r="G17" i="230"/>
  <c r="F17" i="230"/>
  <c r="E17" i="230"/>
  <c r="D17" i="230"/>
  <c r="P15" i="230"/>
  <c r="O15" i="230"/>
  <c r="N15" i="230"/>
  <c r="M15" i="230"/>
  <c r="L15" i="230"/>
  <c r="K15" i="230"/>
  <c r="J15" i="230"/>
  <c r="I15" i="230"/>
  <c r="H15" i="230"/>
  <c r="G15" i="230"/>
  <c r="F15" i="230"/>
  <c r="E15" i="230"/>
  <c r="D15" i="230"/>
  <c r="P13" i="230"/>
  <c r="O13" i="230"/>
  <c r="N13" i="230"/>
  <c r="M13" i="230"/>
  <c r="L13" i="230"/>
  <c r="K13" i="230"/>
  <c r="J13" i="230"/>
  <c r="I13" i="230"/>
  <c r="H13" i="230"/>
  <c r="G13" i="230"/>
  <c r="F13" i="230"/>
  <c r="E13" i="230"/>
  <c r="D13" i="230"/>
  <c r="C20" i="239"/>
  <c r="C18" i="239"/>
  <c r="C16" i="239"/>
  <c r="E27" i="106"/>
  <c r="E24" i="106"/>
  <c r="E21" i="106"/>
  <c r="D17" i="106"/>
  <c r="D16" i="106"/>
  <c r="D15" i="106"/>
  <c r="I14" i="106"/>
  <c r="C32" i="103"/>
  <c r="C25" i="103"/>
  <c r="C18" i="103"/>
  <c r="C27" i="247"/>
  <c r="C24" i="247"/>
  <c r="D21" i="247"/>
  <c r="C21" i="247"/>
  <c r="D18" i="247"/>
  <c r="C18" i="247"/>
  <c r="D18" i="104"/>
  <c r="D16" i="104"/>
  <c r="D36" i="107"/>
  <c r="D35" i="107"/>
  <c r="D34" i="107"/>
  <c r="D33" i="107"/>
  <c r="D32" i="107"/>
  <c r="D31" i="107"/>
  <c r="D30" i="107"/>
  <c r="D29" i="107"/>
  <c r="D28" i="107"/>
  <c r="D23" i="107"/>
  <c r="D22" i="107"/>
  <c r="D21" i="107"/>
  <c r="D20" i="107"/>
  <c r="D19" i="107"/>
  <c r="D18" i="107"/>
  <c r="D17" i="107"/>
  <c r="D16" i="107"/>
  <c r="D15" i="107"/>
  <c r="D132" i="248"/>
  <c r="D131" i="248"/>
  <c r="D130" i="248"/>
  <c r="D129" i="248"/>
  <c r="D128" i="248"/>
  <c r="D127" i="248"/>
  <c r="D126" i="248"/>
  <c r="D125" i="248"/>
  <c r="D124" i="248"/>
  <c r="D123" i="248"/>
  <c r="D122" i="248"/>
  <c r="D121" i="248"/>
  <c r="D120" i="248"/>
  <c r="D119" i="248"/>
  <c r="D118" i="248"/>
  <c r="D117" i="248"/>
  <c r="D116" i="248"/>
  <c r="D115" i="248"/>
  <c r="D114" i="248"/>
  <c r="D113" i="248"/>
  <c r="D112" i="248"/>
  <c r="D111" i="248"/>
  <c r="D110" i="248"/>
  <c r="D109" i="248"/>
  <c r="D108" i="248"/>
  <c r="D107" i="248"/>
  <c r="D106" i="248"/>
  <c r="D105" i="248"/>
  <c r="D104" i="248"/>
  <c r="D103" i="248"/>
  <c r="D102" i="248"/>
  <c r="D101" i="248"/>
  <c r="D100" i="248"/>
  <c r="D99" i="248"/>
  <c r="D98" i="248"/>
  <c r="D97" i="248"/>
  <c r="D96" i="248"/>
  <c r="D95" i="248"/>
  <c r="D94" i="248"/>
  <c r="D93" i="248"/>
  <c r="D92" i="248"/>
  <c r="D91" i="248"/>
  <c r="D90" i="248"/>
  <c r="D89" i="248"/>
  <c r="D88" i="248"/>
  <c r="D87" i="248"/>
  <c r="D86" i="248"/>
  <c r="D85" i="248"/>
  <c r="D84" i="248"/>
  <c r="D83" i="248"/>
  <c r="D82" i="248"/>
  <c r="D81" i="248"/>
  <c r="D80" i="248"/>
  <c r="D79" i="248"/>
  <c r="D78" i="248"/>
  <c r="D77" i="248"/>
  <c r="D70" i="248"/>
  <c r="D69" i="248"/>
  <c r="D68" i="248"/>
  <c r="D67" i="248"/>
  <c r="D66" i="248"/>
  <c r="D65" i="248"/>
  <c r="D64" i="248"/>
  <c r="D63" i="248"/>
  <c r="D62" i="248"/>
  <c r="D61" i="248"/>
  <c r="D60" i="248"/>
  <c r="D59" i="248"/>
  <c r="D58" i="248"/>
  <c r="D57" i="248"/>
  <c r="D56" i="248"/>
  <c r="D55" i="248"/>
  <c r="D54" i="248"/>
  <c r="D53" i="248"/>
  <c r="D52" i="248"/>
  <c r="D51" i="248"/>
  <c r="D50" i="248"/>
  <c r="D49" i="248"/>
  <c r="D48" i="248"/>
  <c r="D47" i="248"/>
  <c r="D46" i="248"/>
  <c r="D45" i="248"/>
  <c r="D44" i="248"/>
  <c r="D43" i="248"/>
  <c r="D42" i="248"/>
  <c r="D41" i="248"/>
  <c r="D40" i="248"/>
  <c r="D39" i="248"/>
  <c r="D38" i="248"/>
  <c r="D37" i="248"/>
  <c r="D36" i="248"/>
  <c r="D35" i="248"/>
  <c r="D34" i="248"/>
  <c r="D33" i="248"/>
  <c r="D32" i="248"/>
  <c r="D31" i="248"/>
  <c r="D30" i="248"/>
  <c r="D29" i="248"/>
  <c r="D28" i="248"/>
  <c r="D27" i="248"/>
  <c r="D26" i="248"/>
  <c r="D25" i="248"/>
  <c r="D24" i="248"/>
  <c r="D23" i="248"/>
  <c r="D22" i="248"/>
  <c r="D21" i="248"/>
  <c r="D20" i="248"/>
  <c r="D19" i="248"/>
  <c r="D18" i="248"/>
  <c r="D17" i="248"/>
  <c r="D16" i="248"/>
  <c r="D15" i="248"/>
  <c r="C60" i="238"/>
  <c r="C46" i="238"/>
  <c r="N31" i="238"/>
  <c r="M31" i="238"/>
  <c r="L31" i="238"/>
  <c r="K31" i="238"/>
  <c r="J31" i="238"/>
  <c r="I31" i="238"/>
  <c r="H31" i="238"/>
  <c r="G31" i="238"/>
  <c r="F31" i="238"/>
  <c r="E31" i="238"/>
  <c r="D31" i="238"/>
  <c r="C31" i="238"/>
  <c r="N17" i="238"/>
  <c r="M17" i="238"/>
  <c r="L17" i="238"/>
  <c r="K17" i="238"/>
  <c r="J17" i="238"/>
  <c r="I17" i="238"/>
  <c r="H17" i="238"/>
  <c r="G17" i="238"/>
  <c r="F17" i="238"/>
  <c r="E17" i="238"/>
  <c r="D17" i="238"/>
  <c r="C17" i="238"/>
  <c r="N59" i="171"/>
  <c r="M59" i="171"/>
  <c r="L59" i="171"/>
  <c r="K59" i="171"/>
  <c r="J59" i="171"/>
  <c r="N45" i="171"/>
  <c r="M45" i="171"/>
  <c r="L45" i="171"/>
  <c r="K45" i="171"/>
  <c r="J45" i="171"/>
  <c r="N30" i="171"/>
  <c r="M30" i="171"/>
  <c r="L30" i="171"/>
  <c r="K30" i="171"/>
  <c r="J30" i="171"/>
  <c r="N16" i="171"/>
  <c r="M16" i="171"/>
  <c r="L16" i="171"/>
  <c r="K16" i="171"/>
  <c r="J16" i="171"/>
  <c r="N60" i="171"/>
  <c r="M60" i="171"/>
  <c r="L60" i="171"/>
  <c r="K60" i="171"/>
  <c r="J60" i="171"/>
  <c r="I60" i="171"/>
  <c r="H60" i="171"/>
  <c r="G60" i="171"/>
  <c r="F60" i="171"/>
  <c r="E60" i="171"/>
  <c r="D60" i="171"/>
  <c r="C60" i="171"/>
  <c r="I59" i="171"/>
  <c r="H59" i="171"/>
  <c r="G59" i="171"/>
  <c r="F59" i="171"/>
  <c r="E59" i="171"/>
  <c r="D59" i="171"/>
  <c r="C59" i="171"/>
  <c r="N58" i="171"/>
  <c r="M58" i="171"/>
  <c r="L58" i="171"/>
  <c r="K58" i="171"/>
  <c r="J58" i="171"/>
  <c r="I58" i="171"/>
  <c r="H58" i="171"/>
  <c r="G58" i="171"/>
  <c r="F58" i="171"/>
  <c r="E58" i="171"/>
  <c r="D58" i="171"/>
  <c r="C58" i="171"/>
  <c r="N57" i="171"/>
  <c r="M57" i="171"/>
  <c r="L57" i="171"/>
  <c r="K57" i="171"/>
  <c r="J57" i="171"/>
  <c r="I57" i="171"/>
  <c r="H57" i="171"/>
  <c r="G57" i="171"/>
  <c r="F57" i="171"/>
  <c r="E57" i="171"/>
  <c r="D57" i="171"/>
  <c r="C57" i="171"/>
  <c r="N56" i="171"/>
  <c r="M56" i="171"/>
  <c r="L56" i="171"/>
  <c r="K56" i="171"/>
  <c r="J56" i="171"/>
  <c r="I56" i="171"/>
  <c r="H56" i="171"/>
  <c r="G56" i="171"/>
  <c r="F56" i="171"/>
  <c r="E56" i="171"/>
  <c r="D56" i="171"/>
  <c r="C56" i="171"/>
  <c r="N55" i="171"/>
  <c r="M55" i="171"/>
  <c r="L55" i="171"/>
  <c r="K55" i="171"/>
  <c r="J55" i="171"/>
  <c r="I55" i="171"/>
  <c r="H55" i="171"/>
  <c r="G55" i="171"/>
  <c r="F55" i="171"/>
  <c r="E55" i="171"/>
  <c r="D55" i="171"/>
  <c r="C55" i="171"/>
  <c r="I45" i="171"/>
  <c r="H45" i="171"/>
  <c r="G45" i="171"/>
  <c r="F45" i="171"/>
  <c r="E45" i="171"/>
  <c r="D45" i="171"/>
  <c r="C45" i="171"/>
  <c r="N44" i="171"/>
  <c r="M44" i="171"/>
  <c r="L44" i="171"/>
  <c r="K44" i="171"/>
  <c r="J44" i="171"/>
  <c r="I44" i="171"/>
  <c r="H44" i="171"/>
  <c r="G44" i="171"/>
  <c r="F44" i="171"/>
  <c r="E44" i="171"/>
  <c r="D44" i="171"/>
  <c r="C44" i="171"/>
  <c r="N43" i="171"/>
  <c r="M43" i="171"/>
  <c r="L43" i="171"/>
  <c r="K43" i="171"/>
  <c r="J43" i="171"/>
  <c r="I43" i="171"/>
  <c r="H43" i="171"/>
  <c r="G43" i="171"/>
  <c r="F43" i="171"/>
  <c r="E43" i="171"/>
  <c r="D43" i="171"/>
  <c r="C43" i="171"/>
  <c r="N42" i="171"/>
  <c r="M42" i="171"/>
  <c r="L42" i="171"/>
  <c r="K42" i="171"/>
  <c r="J42" i="171"/>
  <c r="I42" i="171"/>
  <c r="H42" i="171"/>
  <c r="G42" i="171"/>
  <c r="F42" i="171"/>
  <c r="E42" i="171"/>
  <c r="D42" i="171"/>
  <c r="C42" i="171"/>
  <c r="N32" i="171"/>
  <c r="M32" i="171"/>
  <c r="L32" i="171"/>
  <c r="K32" i="171"/>
  <c r="J32" i="171"/>
  <c r="I32" i="171"/>
  <c r="H32" i="171"/>
  <c r="G32" i="171"/>
  <c r="F32" i="171"/>
  <c r="E32" i="171"/>
  <c r="D32" i="171"/>
  <c r="C32" i="171"/>
  <c r="N31" i="171"/>
  <c r="M31" i="171"/>
  <c r="L31" i="171"/>
  <c r="K31" i="171"/>
  <c r="J31" i="171"/>
  <c r="I31" i="171"/>
  <c r="H31" i="171"/>
  <c r="G31" i="171"/>
  <c r="F31" i="171"/>
  <c r="E31" i="171"/>
  <c r="D31" i="171"/>
  <c r="C31" i="171"/>
  <c r="I30" i="171"/>
  <c r="H30" i="171"/>
  <c r="G30" i="171"/>
  <c r="F30" i="171"/>
  <c r="E30" i="171"/>
  <c r="D30" i="171"/>
  <c r="C30" i="171"/>
  <c r="N29" i="171"/>
  <c r="M29" i="171"/>
  <c r="L29" i="171"/>
  <c r="K29" i="171"/>
  <c r="J29" i="171"/>
  <c r="I29" i="171"/>
  <c r="H29" i="171"/>
  <c r="G29" i="171"/>
  <c r="F29" i="171"/>
  <c r="E29" i="171"/>
  <c r="D29" i="171"/>
  <c r="C29" i="171"/>
  <c r="N28" i="171"/>
  <c r="M28" i="171"/>
  <c r="L28" i="171"/>
  <c r="K28" i="171"/>
  <c r="J28" i="171"/>
  <c r="I28" i="171"/>
  <c r="H28" i="171"/>
  <c r="G28" i="171"/>
  <c r="F28" i="171"/>
  <c r="E28" i="171"/>
  <c r="D28" i="171"/>
  <c r="C28" i="171"/>
  <c r="N27" i="171"/>
  <c r="M27" i="171"/>
  <c r="L27" i="171"/>
  <c r="K27" i="171"/>
  <c r="J27" i="171"/>
  <c r="I27" i="171"/>
  <c r="H27" i="171"/>
  <c r="G27" i="171"/>
  <c r="F27" i="171"/>
  <c r="E27" i="171"/>
  <c r="D27" i="171"/>
  <c r="C27" i="171"/>
  <c r="I22" i="171"/>
  <c r="H22" i="171"/>
  <c r="G22" i="171"/>
  <c r="F22" i="171"/>
  <c r="E22" i="171"/>
  <c r="D22" i="171"/>
  <c r="C22" i="171"/>
  <c r="I21" i="171"/>
  <c r="H21" i="171"/>
  <c r="G21" i="171"/>
  <c r="F21" i="171"/>
  <c r="E21" i="171"/>
  <c r="D21" i="171"/>
  <c r="C21" i="171"/>
  <c r="I20" i="171"/>
  <c r="H20" i="171"/>
  <c r="G20" i="171"/>
  <c r="F20" i="171"/>
  <c r="E20" i="171"/>
  <c r="D20" i="171"/>
  <c r="C20" i="171"/>
  <c r="N19" i="171"/>
  <c r="M19" i="171"/>
  <c r="L19" i="171"/>
  <c r="K19" i="171"/>
  <c r="J19" i="171"/>
  <c r="I19" i="171"/>
  <c r="H19" i="171"/>
  <c r="G19" i="171"/>
  <c r="F19" i="171"/>
  <c r="E19" i="171"/>
  <c r="D19" i="171"/>
  <c r="C19" i="171"/>
  <c r="N18" i="171"/>
  <c r="M18" i="171"/>
  <c r="L18" i="171"/>
  <c r="K18" i="171"/>
  <c r="J18" i="171"/>
  <c r="I18" i="171"/>
  <c r="H18" i="171"/>
  <c r="G18" i="171"/>
  <c r="F18" i="171"/>
  <c r="E18" i="171"/>
  <c r="D18" i="171"/>
  <c r="C18" i="171"/>
  <c r="N17" i="171"/>
  <c r="M17" i="171"/>
  <c r="L17" i="171"/>
  <c r="K17" i="171"/>
  <c r="J17" i="171"/>
  <c r="I17" i="171"/>
  <c r="H17" i="171"/>
  <c r="G17" i="171"/>
  <c r="F17" i="171"/>
  <c r="E17" i="171"/>
  <c r="D17" i="171"/>
  <c r="C17" i="171"/>
  <c r="H16" i="171"/>
  <c r="G16" i="171"/>
  <c r="F16" i="171"/>
  <c r="E16" i="171"/>
  <c r="D16" i="171"/>
  <c r="C16" i="171"/>
  <c r="N15" i="171"/>
  <c r="M15" i="171"/>
  <c r="L15" i="171"/>
  <c r="K15" i="171"/>
  <c r="J15" i="171"/>
  <c r="I15" i="171"/>
  <c r="H15" i="171"/>
  <c r="G15" i="171"/>
  <c r="F15" i="171"/>
  <c r="E15" i="171"/>
  <c r="D15" i="171"/>
  <c r="C15" i="171"/>
  <c r="N14" i="171"/>
  <c r="M14" i="171"/>
  <c r="L14" i="171"/>
  <c r="K14" i="171"/>
  <c r="J14" i="171"/>
  <c r="I14" i="171"/>
  <c r="H14" i="171"/>
  <c r="G14" i="171"/>
  <c r="F14" i="171"/>
  <c r="E14" i="171"/>
  <c r="D14" i="171"/>
  <c r="C14" i="171"/>
  <c r="N13" i="171"/>
  <c r="M13" i="171"/>
  <c r="L13" i="171"/>
  <c r="K13" i="171"/>
  <c r="J13" i="171"/>
  <c r="I13" i="171"/>
  <c r="H13" i="171"/>
  <c r="G13" i="171"/>
  <c r="F13" i="171"/>
  <c r="E13" i="171"/>
  <c r="D13" i="171"/>
  <c r="C13" i="171"/>
  <c r="N12" i="171"/>
  <c r="M12" i="171"/>
  <c r="L12" i="171"/>
  <c r="K12" i="171"/>
  <c r="J12" i="171"/>
  <c r="I12" i="171"/>
  <c r="H12" i="171"/>
  <c r="G12" i="171"/>
  <c r="F12" i="171"/>
  <c r="E12" i="171"/>
  <c r="D12" i="171"/>
  <c r="C12" i="171"/>
  <c r="I54" i="192"/>
  <c r="H54" i="192"/>
  <c r="G54" i="192"/>
  <c r="F54" i="192"/>
  <c r="E54" i="192"/>
  <c r="D54" i="192"/>
  <c r="I34" i="193"/>
  <c r="H34" i="193"/>
  <c r="G34" i="193"/>
  <c r="F34" i="193"/>
  <c r="E34" i="193"/>
  <c r="D34" i="193"/>
  <c r="I40" i="190"/>
  <c r="H40" i="190"/>
  <c r="G40" i="190"/>
  <c r="F40" i="190"/>
  <c r="E40" i="190"/>
  <c r="D40" i="190"/>
  <c r="O45" i="222"/>
  <c r="N45" i="222"/>
  <c r="M45" i="222"/>
  <c r="L45" i="222"/>
  <c r="K45" i="222"/>
  <c r="J45" i="222"/>
  <c r="I45" i="222"/>
  <c r="H45" i="222"/>
  <c r="G45" i="222"/>
  <c r="F45" i="222"/>
  <c r="E45" i="222"/>
  <c r="D45" i="222"/>
  <c r="O44" i="222"/>
  <c r="N44" i="222"/>
  <c r="M44" i="222"/>
  <c r="L44" i="222"/>
  <c r="K44" i="222"/>
  <c r="J44" i="222"/>
  <c r="I44" i="222"/>
  <c r="H44" i="222"/>
  <c r="G44" i="222"/>
  <c r="F44" i="222"/>
  <c r="E44" i="222"/>
  <c r="D44" i="222"/>
  <c r="O43" i="222"/>
  <c r="N43" i="222"/>
  <c r="M43" i="222"/>
  <c r="L43" i="222"/>
  <c r="K43" i="222"/>
  <c r="J43" i="222"/>
  <c r="I43" i="222"/>
  <c r="H43" i="222"/>
  <c r="G43" i="222"/>
  <c r="F43" i="222"/>
  <c r="E43" i="222"/>
  <c r="D43" i="222"/>
  <c r="O42" i="222"/>
  <c r="N42" i="222"/>
  <c r="M42" i="222"/>
  <c r="L42" i="222"/>
  <c r="K42" i="222"/>
  <c r="J42" i="222"/>
  <c r="I42" i="222"/>
  <c r="H42" i="222"/>
  <c r="G42" i="222"/>
  <c r="F42" i="222"/>
  <c r="E42" i="222"/>
  <c r="D42" i="222"/>
  <c r="O41" i="222"/>
  <c r="N41" i="222"/>
  <c r="M41" i="222"/>
  <c r="L41" i="222"/>
  <c r="K41" i="222"/>
  <c r="J41" i="222"/>
  <c r="I41" i="222"/>
  <c r="H41" i="222"/>
  <c r="G41" i="222"/>
  <c r="F41" i="222"/>
  <c r="E41" i="222"/>
  <c r="D41" i="222"/>
  <c r="O40" i="222"/>
  <c r="N40" i="222"/>
  <c r="M40" i="222"/>
  <c r="L40" i="222"/>
  <c r="K40" i="222"/>
  <c r="J40" i="222"/>
  <c r="I40" i="222"/>
  <c r="H40" i="222"/>
  <c r="G40" i="222"/>
  <c r="F40" i="222"/>
  <c r="E40" i="222"/>
  <c r="D40" i="222"/>
  <c r="O39" i="222"/>
  <c r="N39" i="222"/>
  <c r="M39" i="222"/>
  <c r="L39" i="222"/>
  <c r="K39" i="222"/>
  <c r="J39" i="222"/>
  <c r="I39" i="222"/>
  <c r="H39" i="222"/>
  <c r="G39" i="222"/>
  <c r="F39" i="222"/>
  <c r="E39" i="222"/>
  <c r="D39" i="222"/>
  <c r="O38" i="222"/>
  <c r="N38" i="222"/>
  <c r="M38" i="222"/>
  <c r="L38" i="222"/>
  <c r="K38" i="222"/>
  <c r="J38" i="222"/>
  <c r="I38" i="222"/>
  <c r="H38" i="222"/>
  <c r="G38" i="222"/>
  <c r="F38" i="222"/>
  <c r="E38" i="222"/>
  <c r="D38" i="222"/>
  <c r="O37" i="222"/>
  <c r="N37" i="222"/>
  <c r="M37" i="222"/>
  <c r="L37" i="222"/>
  <c r="K37" i="222"/>
  <c r="J37" i="222"/>
  <c r="I37" i="222"/>
  <c r="H37" i="222"/>
  <c r="G37" i="222"/>
  <c r="F37" i="222"/>
  <c r="E37" i="222"/>
  <c r="D37" i="222"/>
  <c r="O36" i="222"/>
  <c r="N36" i="222"/>
  <c r="M36" i="222"/>
  <c r="L36" i="222"/>
  <c r="K36" i="222"/>
  <c r="J36" i="222"/>
  <c r="I36" i="222"/>
  <c r="H36" i="222"/>
  <c r="G36" i="222"/>
  <c r="F36" i="222"/>
  <c r="E36" i="222"/>
  <c r="D36" i="222"/>
  <c r="O35" i="222"/>
  <c r="N35" i="222"/>
  <c r="M35" i="222"/>
  <c r="L35" i="222"/>
  <c r="K35" i="222"/>
  <c r="J35" i="222"/>
  <c r="I35" i="222"/>
  <c r="H35" i="222"/>
  <c r="G35" i="222"/>
  <c r="F35" i="222"/>
  <c r="E35" i="222"/>
  <c r="D35" i="222"/>
  <c r="O34" i="222"/>
  <c r="N34" i="222"/>
  <c r="M34" i="222"/>
  <c r="L34" i="222"/>
  <c r="K34" i="222"/>
  <c r="J34" i="222"/>
  <c r="I34" i="222"/>
  <c r="H34" i="222"/>
  <c r="G34" i="222"/>
  <c r="F34" i="222"/>
  <c r="E34" i="222"/>
  <c r="D34" i="222"/>
  <c r="O33" i="222"/>
  <c r="N33" i="222"/>
  <c r="M33" i="222"/>
  <c r="L33" i="222"/>
  <c r="K33" i="222"/>
  <c r="J33" i="222"/>
  <c r="I33" i="222"/>
  <c r="H33" i="222"/>
  <c r="G33" i="222"/>
  <c r="F33" i="222"/>
  <c r="E33" i="222"/>
  <c r="D33" i="222"/>
  <c r="O32" i="222"/>
  <c r="N32" i="222"/>
  <c r="M32" i="222"/>
  <c r="L32" i="222"/>
  <c r="K32" i="222"/>
  <c r="J32" i="222"/>
  <c r="I32" i="222"/>
  <c r="H32" i="222"/>
  <c r="G32" i="222"/>
  <c r="F32" i="222"/>
  <c r="E32" i="222"/>
  <c r="D32" i="222"/>
  <c r="O31" i="222"/>
  <c r="N31" i="222"/>
  <c r="M31" i="222"/>
  <c r="L31" i="222"/>
  <c r="K31" i="222"/>
  <c r="J31" i="222"/>
  <c r="I31" i="222"/>
  <c r="H31" i="222"/>
  <c r="G31" i="222"/>
  <c r="F31" i="222"/>
  <c r="E31" i="222"/>
  <c r="D31" i="222"/>
  <c r="O45" i="44"/>
  <c r="N45" i="44"/>
  <c r="M45" i="44"/>
  <c r="L45" i="44"/>
  <c r="K45" i="44"/>
  <c r="J45" i="44"/>
  <c r="O44" i="44"/>
  <c r="N44" i="44"/>
  <c r="M44" i="44"/>
  <c r="L44" i="44"/>
  <c r="K44" i="44"/>
  <c r="J44" i="44"/>
  <c r="O43" i="44"/>
  <c r="N43" i="44"/>
  <c r="M43" i="44"/>
  <c r="L43" i="44"/>
  <c r="K43" i="44"/>
  <c r="J43" i="44"/>
  <c r="O42" i="44"/>
  <c r="N42" i="44"/>
  <c r="M42" i="44"/>
  <c r="L42" i="44"/>
  <c r="K42" i="44"/>
  <c r="J42" i="44"/>
  <c r="O41" i="44"/>
  <c r="N41" i="44"/>
  <c r="M41" i="44"/>
  <c r="L41" i="44"/>
  <c r="K41" i="44"/>
  <c r="J41" i="44"/>
  <c r="O40" i="44"/>
  <c r="N40" i="44"/>
  <c r="M40" i="44"/>
  <c r="L40" i="44"/>
  <c r="K40" i="44"/>
  <c r="J40" i="44"/>
  <c r="O39" i="44"/>
  <c r="N39" i="44"/>
  <c r="M39" i="44"/>
  <c r="L39" i="44"/>
  <c r="K39" i="44"/>
  <c r="J39" i="44"/>
  <c r="O38" i="44"/>
  <c r="N38" i="44"/>
  <c r="M38" i="44"/>
  <c r="L38" i="44"/>
  <c r="K38" i="44"/>
  <c r="J38" i="44"/>
  <c r="O37" i="44"/>
  <c r="N37" i="44"/>
  <c r="M37" i="44"/>
  <c r="L37" i="44"/>
  <c r="K37" i="44"/>
  <c r="J37" i="44"/>
  <c r="O36" i="44"/>
  <c r="N36" i="44"/>
  <c r="M36" i="44"/>
  <c r="L36" i="44"/>
  <c r="K36" i="44"/>
  <c r="J36" i="44"/>
  <c r="O35" i="44"/>
  <c r="N35" i="44"/>
  <c r="M35" i="44"/>
  <c r="L35" i="44"/>
  <c r="K35" i="44"/>
  <c r="J35" i="44"/>
  <c r="O34" i="44"/>
  <c r="N34" i="44"/>
  <c r="M34" i="44"/>
  <c r="L34" i="44"/>
  <c r="K34" i="44"/>
  <c r="J34" i="44"/>
  <c r="O33" i="44"/>
  <c r="N33" i="44"/>
  <c r="M33" i="44"/>
  <c r="L33" i="44"/>
  <c r="K33" i="44"/>
  <c r="J33" i="44"/>
  <c r="O32" i="44"/>
  <c r="N32" i="44"/>
  <c r="M32" i="44"/>
  <c r="L32" i="44"/>
  <c r="K32" i="44"/>
  <c r="J32" i="44"/>
  <c r="O31" i="44"/>
  <c r="N31" i="44"/>
  <c r="M31" i="44"/>
  <c r="L31" i="44"/>
  <c r="K31" i="44"/>
  <c r="J31" i="44"/>
  <c r="D37" i="250"/>
  <c r="D36" i="250"/>
  <c r="D34" i="250"/>
  <c r="D33" i="250"/>
  <c r="D31" i="250"/>
  <c r="D30" i="250"/>
  <c r="D28" i="250"/>
  <c r="D27" i="250"/>
  <c r="D19" i="250"/>
  <c r="D17" i="250"/>
  <c r="D15" i="250"/>
  <c r="O36" i="35"/>
  <c r="M36" i="35"/>
  <c r="O30" i="35"/>
  <c r="O26" i="35" s="1"/>
  <c r="M30" i="35"/>
  <c r="M26" i="35" s="1"/>
  <c r="D38" i="49"/>
  <c r="D37" i="49"/>
  <c r="D33" i="49"/>
  <c r="D32" i="49"/>
  <c r="D20" i="49"/>
  <c r="D19" i="49"/>
  <c r="D14" i="49"/>
  <c r="D13" i="49"/>
  <c r="D141" i="51"/>
  <c r="D139" i="51"/>
  <c r="D138" i="51"/>
  <c r="G23" i="102"/>
  <c r="G22" i="102"/>
  <c r="C23" i="102"/>
  <c r="C22" i="102"/>
  <c r="H21" i="105"/>
  <c r="D21" i="105"/>
  <c r="O46" i="228"/>
  <c r="N46" i="228"/>
  <c r="M46" i="228"/>
  <c r="L46" i="228"/>
  <c r="K46" i="228"/>
  <c r="J46" i="228"/>
  <c r="I46" i="228"/>
  <c r="H46" i="228"/>
  <c r="G46" i="228"/>
  <c r="F46" i="228"/>
  <c r="E46" i="228"/>
  <c r="D46" i="228"/>
  <c r="O45" i="228"/>
  <c r="N45" i="228"/>
  <c r="M45" i="228"/>
  <c r="L45" i="228"/>
  <c r="K45" i="228"/>
  <c r="J45" i="228"/>
  <c r="I45" i="228"/>
  <c r="H45" i="228"/>
  <c r="G45" i="228"/>
  <c r="F45" i="228"/>
  <c r="E45" i="228"/>
  <c r="D45" i="228"/>
  <c r="O44" i="228"/>
  <c r="N44" i="228"/>
  <c r="M44" i="228"/>
  <c r="L44" i="228"/>
  <c r="K44" i="228"/>
  <c r="J44" i="228"/>
  <c r="I44" i="228"/>
  <c r="H44" i="228"/>
  <c r="G44" i="228"/>
  <c r="F44" i="228"/>
  <c r="E44" i="228"/>
  <c r="D44" i="228"/>
  <c r="O43" i="228"/>
  <c r="N43" i="228"/>
  <c r="M43" i="228"/>
  <c r="L43" i="228"/>
  <c r="K43" i="228"/>
  <c r="J43" i="228"/>
  <c r="I43" i="228"/>
  <c r="H43" i="228"/>
  <c r="G43" i="228"/>
  <c r="F43" i="228"/>
  <c r="E43" i="228"/>
  <c r="D43" i="228"/>
  <c r="O42" i="228"/>
  <c r="N42" i="228"/>
  <c r="M42" i="228"/>
  <c r="L42" i="228"/>
  <c r="K42" i="228"/>
  <c r="J42" i="228"/>
  <c r="I42" i="228"/>
  <c r="H42" i="228"/>
  <c r="G42" i="228"/>
  <c r="F42" i="228"/>
  <c r="E42" i="228"/>
  <c r="D42" i="228"/>
  <c r="O41" i="228"/>
  <c r="N41" i="228"/>
  <c r="M41" i="228"/>
  <c r="L41" i="228"/>
  <c r="K41" i="228"/>
  <c r="J41" i="228"/>
  <c r="I41" i="228"/>
  <c r="H41" i="228"/>
  <c r="G41" i="228"/>
  <c r="F41" i="228"/>
  <c r="E41" i="228"/>
  <c r="D41" i="228"/>
  <c r="O39" i="228"/>
  <c r="N39" i="228"/>
  <c r="M39" i="228"/>
  <c r="L39" i="228"/>
  <c r="K39" i="228"/>
  <c r="J39" i="228"/>
  <c r="I39" i="228"/>
  <c r="H39" i="228"/>
  <c r="G39" i="228"/>
  <c r="F39" i="228"/>
  <c r="E39" i="228"/>
  <c r="D39" i="228"/>
  <c r="O38" i="228"/>
  <c r="N38" i="228"/>
  <c r="M38" i="228"/>
  <c r="L38" i="228"/>
  <c r="K38" i="228"/>
  <c r="J38" i="228"/>
  <c r="I38" i="228"/>
  <c r="H38" i="228"/>
  <c r="G38" i="228"/>
  <c r="F38" i="228"/>
  <c r="E38" i="228"/>
  <c r="D38" i="228"/>
  <c r="O37" i="228"/>
  <c r="N37" i="228"/>
  <c r="M37" i="228"/>
  <c r="L37" i="228"/>
  <c r="K37" i="228"/>
  <c r="J37" i="228"/>
  <c r="I37" i="228"/>
  <c r="H37" i="228"/>
  <c r="G37" i="228"/>
  <c r="F37" i="228"/>
  <c r="E37" i="228"/>
  <c r="D37" i="228"/>
  <c r="O36" i="228"/>
  <c r="N36" i="228"/>
  <c r="M36" i="228"/>
  <c r="L36" i="228"/>
  <c r="K36" i="228"/>
  <c r="J36" i="228"/>
  <c r="I36" i="228"/>
  <c r="H36" i="228"/>
  <c r="G36" i="228"/>
  <c r="F36" i="228"/>
  <c r="E36" i="228"/>
  <c r="D36" i="228"/>
  <c r="O35" i="228"/>
  <c r="N35" i="228"/>
  <c r="M35" i="228"/>
  <c r="L35" i="228"/>
  <c r="K35" i="228"/>
  <c r="J35" i="228"/>
  <c r="I35" i="228"/>
  <c r="H35" i="228"/>
  <c r="G35" i="228"/>
  <c r="F35" i="228"/>
  <c r="E35" i="228"/>
  <c r="D35" i="228"/>
  <c r="O34" i="228"/>
  <c r="N34" i="228"/>
  <c r="M34" i="228"/>
  <c r="L34" i="228"/>
  <c r="K34" i="228"/>
  <c r="J34" i="228"/>
  <c r="I34" i="228"/>
  <c r="H34" i="228"/>
  <c r="G34" i="228"/>
  <c r="F34" i="228"/>
  <c r="E34" i="228"/>
  <c r="D34" i="228"/>
  <c r="O33" i="228"/>
  <c r="N33" i="228"/>
  <c r="M33" i="228"/>
  <c r="L33" i="228"/>
  <c r="K33" i="228"/>
  <c r="J33" i="228"/>
  <c r="I33" i="228"/>
  <c r="H33" i="228"/>
  <c r="G33" i="228"/>
  <c r="F33" i="228"/>
  <c r="E33" i="228"/>
  <c r="D33" i="228"/>
  <c r="O32" i="228"/>
  <c r="N32" i="228"/>
  <c r="M32" i="228"/>
  <c r="L32" i="228"/>
  <c r="K32" i="228"/>
  <c r="J32" i="228"/>
  <c r="I32" i="228"/>
  <c r="H32" i="228"/>
  <c r="G32" i="228"/>
  <c r="F32" i="228"/>
  <c r="E32" i="228"/>
  <c r="D32" i="228"/>
  <c r="O31" i="228"/>
  <c r="N31" i="228"/>
  <c r="M31" i="228"/>
  <c r="L31" i="228"/>
  <c r="K31" i="228"/>
  <c r="J31" i="228"/>
  <c r="I31" i="228"/>
  <c r="H31" i="228"/>
  <c r="G31" i="228"/>
  <c r="F31" i="228"/>
  <c r="E31" i="228"/>
  <c r="D31" i="228"/>
  <c r="O30" i="228"/>
  <c r="N30" i="228"/>
  <c r="M30" i="228"/>
  <c r="L30" i="228"/>
  <c r="K30" i="228"/>
  <c r="J30" i="228"/>
  <c r="I30" i="228"/>
  <c r="H30" i="228"/>
  <c r="G30" i="228"/>
  <c r="F30" i="228"/>
  <c r="E30" i="228"/>
  <c r="D30" i="228"/>
  <c r="O29" i="228"/>
  <c r="N29" i="228"/>
  <c r="M29" i="228"/>
  <c r="L29" i="228"/>
  <c r="K29" i="228"/>
  <c r="J29" i="228"/>
  <c r="I29" i="228"/>
  <c r="H29" i="228"/>
  <c r="G29" i="228"/>
  <c r="F29" i="228"/>
  <c r="E29" i="228"/>
  <c r="D29" i="228"/>
  <c r="O28" i="228"/>
  <c r="N28" i="228"/>
  <c r="M28" i="228"/>
  <c r="L28" i="228"/>
  <c r="K28" i="228"/>
  <c r="J28" i="228"/>
  <c r="I28" i="228"/>
  <c r="H28" i="228"/>
  <c r="G28" i="228"/>
  <c r="F28" i="228"/>
  <c r="E28" i="228"/>
  <c r="D28" i="228"/>
  <c r="O27" i="228"/>
  <c r="N27" i="228"/>
  <c r="M27" i="228"/>
  <c r="L27" i="228"/>
  <c r="K27" i="228"/>
  <c r="J27" i="228"/>
  <c r="I27" i="228"/>
  <c r="H27" i="228"/>
  <c r="G27" i="228"/>
  <c r="F27" i="228"/>
  <c r="E27" i="228"/>
  <c r="D27" i="228"/>
  <c r="O26" i="228"/>
  <c r="N26" i="228"/>
  <c r="M26" i="228"/>
  <c r="L26" i="228"/>
  <c r="K26" i="228"/>
  <c r="J26" i="228"/>
  <c r="I26" i="228"/>
  <c r="H26" i="228"/>
  <c r="G26" i="228"/>
  <c r="F26" i="228"/>
  <c r="E26" i="228"/>
  <c r="D26" i="228"/>
  <c r="O25" i="228"/>
  <c r="N25" i="228"/>
  <c r="M25" i="228"/>
  <c r="L25" i="228"/>
  <c r="K25" i="228"/>
  <c r="J25" i="228"/>
  <c r="I25" i="228"/>
  <c r="H25" i="228"/>
  <c r="G25" i="228"/>
  <c r="F25" i="228"/>
  <c r="E25" i="228"/>
  <c r="D25" i="228"/>
  <c r="O24" i="228"/>
  <c r="N24" i="228"/>
  <c r="M24" i="228"/>
  <c r="L24" i="228"/>
  <c r="K24" i="228"/>
  <c r="J24" i="228"/>
  <c r="I24" i="228"/>
  <c r="H24" i="228"/>
  <c r="G24" i="228"/>
  <c r="F24" i="228"/>
  <c r="E24" i="228"/>
  <c r="D24" i="228"/>
  <c r="O23" i="228"/>
  <c r="N23" i="228"/>
  <c r="M23" i="228"/>
  <c r="L23" i="228"/>
  <c r="K23" i="228"/>
  <c r="J23" i="228"/>
  <c r="I23" i="228"/>
  <c r="H23" i="228"/>
  <c r="G23" i="228"/>
  <c r="F23" i="228"/>
  <c r="E23" i="228"/>
  <c r="D23" i="228"/>
  <c r="O22" i="228"/>
  <c r="N22" i="228"/>
  <c r="M22" i="228"/>
  <c r="L22" i="228"/>
  <c r="K22" i="228"/>
  <c r="J22" i="228"/>
  <c r="I22" i="228"/>
  <c r="H22" i="228"/>
  <c r="G22" i="228"/>
  <c r="F22" i="228"/>
  <c r="E22" i="228"/>
  <c r="D22" i="228"/>
  <c r="O21" i="228"/>
  <c r="N21" i="228"/>
  <c r="M21" i="228"/>
  <c r="L21" i="228"/>
  <c r="K21" i="228"/>
  <c r="J21" i="228"/>
  <c r="I21" i="228"/>
  <c r="H21" i="228"/>
  <c r="G21" i="228"/>
  <c r="F21" i="228"/>
  <c r="E21" i="228"/>
  <c r="D21" i="228"/>
  <c r="O20" i="228"/>
  <c r="N20" i="228"/>
  <c r="M20" i="228"/>
  <c r="L20" i="228"/>
  <c r="K20" i="228"/>
  <c r="J20" i="228"/>
  <c r="I20" i="228"/>
  <c r="H20" i="228"/>
  <c r="G20" i="228"/>
  <c r="F20" i="228"/>
  <c r="E20" i="228"/>
  <c r="D20" i="228"/>
  <c r="O19" i="228"/>
  <c r="N19" i="228"/>
  <c r="M19" i="228"/>
  <c r="L19" i="228"/>
  <c r="K19" i="228"/>
  <c r="J19" i="228"/>
  <c r="I19" i="228"/>
  <c r="H19" i="228"/>
  <c r="G19" i="228"/>
  <c r="F19" i="228"/>
  <c r="E19" i="228"/>
  <c r="D19" i="228"/>
  <c r="O18" i="228"/>
  <c r="N18" i="228"/>
  <c r="M18" i="228"/>
  <c r="L18" i="228"/>
  <c r="K18" i="228"/>
  <c r="J18" i="228"/>
  <c r="I18" i="228"/>
  <c r="H18" i="228"/>
  <c r="G18" i="228"/>
  <c r="F18" i="228"/>
  <c r="E18" i="228"/>
  <c r="D18" i="228"/>
  <c r="O17" i="228"/>
  <c r="N17" i="228"/>
  <c r="M17" i="228"/>
  <c r="L17" i="228"/>
  <c r="K17" i="228"/>
  <c r="J17" i="228"/>
  <c r="I17" i="228"/>
  <c r="H17" i="228"/>
  <c r="G17" i="228"/>
  <c r="F17" i="228"/>
  <c r="E17" i="228"/>
  <c r="D17" i="228"/>
  <c r="O16" i="228"/>
  <c r="N16" i="228"/>
  <c r="M16" i="228"/>
  <c r="L16" i="228"/>
  <c r="K16" i="228"/>
  <c r="J16" i="228"/>
  <c r="I16" i="228"/>
  <c r="H16" i="228"/>
  <c r="G16" i="228"/>
  <c r="F16" i="228"/>
  <c r="E16" i="228"/>
  <c r="D16" i="228"/>
  <c r="O15" i="228"/>
  <c r="N15" i="228"/>
  <c r="M15" i="228"/>
  <c r="L15" i="228"/>
  <c r="K15" i="228"/>
  <c r="J15" i="228"/>
  <c r="I15" i="228"/>
  <c r="H15" i="228"/>
  <c r="G15" i="228"/>
  <c r="F15" i="228"/>
  <c r="E15" i="228"/>
  <c r="D15" i="228"/>
  <c r="O48" i="192"/>
  <c r="N48" i="192"/>
  <c r="M48" i="192"/>
  <c r="L48" i="192"/>
  <c r="K48" i="192"/>
  <c r="J48" i="192"/>
  <c r="O47" i="192"/>
  <c r="N47" i="192"/>
  <c r="M47" i="192"/>
  <c r="L47" i="192"/>
  <c r="K47" i="192"/>
  <c r="J47" i="192"/>
  <c r="O46" i="192"/>
  <c r="N46" i="192"/>
  <c r="M46" i="192"/>
  <c r="L46" i="192"/>
  <c r="K46" i="192"/>
  <c r="J46" i="192"/>
  <c r="O45" i="192"/>
  <c r="N45" i="192"/>
  <c r="M45" i="192"/>
  <c r="L45" i="192"/>
  <c r="K45" i="192"/>
  <c r="J45" i="192"/>
  <c r="O44" i="192"/>
  <c r="N44" i="192"/>
  <c r="M44" i="192"/>
  <c r="L44" i="192"/>
  <c r="K44" i="192"/>
  <c r="J44" i="192"/>
  <c r="O43" i="192"/>
  <c r="N43" i="192"/>
  <c r="M43" i="192"/>
  <c r="L43" i="192"/>
  <c r="K43" i="192"/>
  <c r="J43" i="192"/>
  <c r="O41" i="192"/>
  <c r="N41" i="192"/>
  <c r="M41" i="192"/>
  <c r="L41" i="192"/>
  <c r="K41" i="192"/>
  <c r="J41" i="192"/>
  <c r="O40" i="192"/>
  <c r="N40" i="192"/>
  <c r="M40" i="192"/>
  <c r="L40" i="192"/>
  <c r="K40" i="192"/>
  <c r="J40" i="192"/>
  <c r="O39" i="192"/>
  <c r="N39" i="192"/>
  <c r="M39" i="192"/>
  <c r="L39" i="192"/>
  <c r="K39" i="192"/>
  <c r="J39" i="192"/>
  <c r="O38" i="192"/>
  <c r="N38" i="192"/>
  <c r="M38" i="192"/>
  <c r="L38" i="192"/>
  <c r="K38" i="192"/>
  <c r="J38" i="192"/>
  <c r="O37" i="192"/>
  <c r="N37" i="192"/>
  <c r="M37" i="192"/>
  <c r="L37" i="192"/>
  <c r="K37" i="192"/>
  <c r="J37" i="192"/>
  <c r="O36" i="192"/>
  <c r="N36" i="192"/>
  <c r="M36" i="192"/>
  <c r="L36" i="192"/>
  <c r="K36" i="192"/>
  <c r="J36" i="192"/>
  <c r="O35" i="192"/>
  <c r="N35" i="192"/>
  <c r="M35" i="192"/>
  <c r="L35" i="192"/>
  <c r="K35" i="192"/>
  <c r="J35" i="192"/>
  <c r="O34" i="192"/>
  <c r="N34" i="192"/>
  <c r="M34" i="192"/>
  <c r="L34" i="192"/>
  <c r="K34" i="192"/>
  <c r="J34" i="192"/>
  <c r="O33" i="192"/>
  <c r="N33" i="192"/>
  <c r="M33" i="192"/>
  <c r="L33" i="192"/>
  <c r="K33" i="192"/>
  <c r="J33" i="192"/>
  <c r="O32" i="192"/>
  <c r="N32" i="192"/>
  <c r="M32" i="192"/>
  <c r="L32" i="192"/>
  <c r="K32" i="192"/>
  <c r="J32" i="192"/>
  <c r="O31" i="192"/>
  <c r="N31" i="192"/>
  <c r="M31" i="192"/>
  <c r="L31" i="192"/>
  <c r="K31" i="192"/>
  <c r="J31" i="192"/>
  <c r="O30" i="192"/>
  <c r="N30" i="192"/>
  <c r="M30" i="192"/>
  <c r="L30" i="192"/>
  <c r="K30" i="192"/>
  <c r="J30" i="192"/>
  <c r="O29" i="192"/>
  <c r="N29" i="192"/>
  <c r="M29" i="192"/>
  <c r="L29" i="192"/>
  <c r="K29" i="192"/>
  <c r="J29" i="192"/>
  <c r="O28" i="192"/>
  <c r="N28" i="192"/>
  <c r="M28" i="192"/>
  <c r="L28" i="192"/>
  <c r="K28" i="192"/>
  <c r="J28" i="192"/>
  <c r="O27" i="192"/>
  <c r="N27" i="192"/>
  <c r="M27" i="192"/>
  <c r="L27" i="192"/>
  <c r="K27" i="192"/>
  <c r="J27" i="192"/>
  <c r="O26" i="192"/>
  <c r="N26" i="192"/>
  <c r="M26" i="192"/>
  <c r="L26" i="192"/>
  <c r="K26" i="192"/>
  <c r="J26" i="192"/>
  <c r="O25" i="192"/>
  <c r="N25" i="192"/>
  <c r="M25" i="192"/>
  <c r="L25" i="192"/>
  <c r="K25" i="192"/>
  <c r="J25" i="192"/>
  <c r="O24" i="192"/>
  <c r="N24" i="192"/>
  <c r="M24" i="192"/>
  <c r="L24" i="192"/>
  <c r="K24" i="192"/>
  <c r="J24" i="192"/>
  <c r="O23" i="192"/>
  <c r="N23" i="192"/>
  <c r="M23" i="192"/>
  <c r="L23" i="192"/>
  <c r="K23" i="192"/>
  <c r="J23" i="192"/>
  <c r="O22" i="192"/>
  <c r="N22" i="192"/>
  <c r="M22" i="192"/>
  <c r="L22" i="192"/>
  <c r="K22" i="192"/>
  <c r="J22" i="192"/>
  <c r="O21" i="192"/>
  <c r="N21" i="192"/>
  <c r="M21" i="192"/>
  <c r="L21" i="192"/>
  <c r="K21" i="192"/>
  <c r="J21" i="192"/>
  <c r="O20" i="192"/>
  <c r="N20" i="192"/>
  <c r="M20" i="192"/>
  <c r="L20" i="192"/>
  <c r="K20" i="192"/>
  <c r="J20" i="192"/>
  <c r="O19" i="192"/>
  <c r="N19" i="192"/>
  <c r="M19" i="192"/>
  <c r="L19" i="192"/>
  <c r="K19" i="192"/>
  <c r="J19" i="192"/>
  <c r="O18" i="192"/>
  <c r="N18" i="192"/>
  <c r="M18" i="192"/>
  <c r="L18" i="192"/>
  <c r="K18" i="192"/>
  <c r="J18" i="192"/>
  <c r="O17" i="192"/>
  <c r="N17" i="192"/>
  <c r="M17" i="192"/>
  <c r="L17" i="192"/>
  <c r="K17" i="192"/>
  <c r="J17" i="192"/>
  <c r="G32" i="102"/>
  <c r="C32" i="102"/>
  <c r="H31" i="105"/>
  <c r="D31" i="105"/>
  <c r="O28" i="227"/>
  <c r="N28" i="227"/>
  <c r="M28" i="227"/>
  <c r="L28" i="227"/>
  <c r="K28" i="227"/>
  <c r="J28" i="227"/>
  <c r="I28" i="227"/>
  <c r="H28" i="227"/>
  <c r="G28" i="227"/>
  <c r="F28" i="227"/>
  <c r="E28" i="227"/>
  <c r="D28" i="227"/>
  <c r="O27" i="227"/>
  <c r="N27" i="227"/>
  <c r="M27" i="227"/>
  <c r="L27" i="227"/>
  <c r="K27" i="227"/>
  <c r="J27" i="227"/>
  <c r="I27" i="227"/>
  <c r="H27" i="227"/>
  <c r="G27" i="227"/>
  <c r="F27" i="227"/>
  <c r="E27" i="227"/>
  <c r="D27" i="227"/>
  <c r="O26" i="227"/>
  <c r="N26" i="227"/>
  <c r="M26" i="227"/>
  <c r="L26" i="227"/>
  <c r="K26" i="227"/>
  <c r="J26" i="227"/>
  <c r="I26" i="227"/>
  <c r="H26" i="227"/>
  <c r="G26" i="227"/>
  <c r="F26" i="227"/>
  <c r="E26" i="227"/>
  <c r="D26" i="227"/>
  <c r="O25" i="227"/>
  <c r="N25" i="227"/>
  <c r="M25" i="227"/>
  <c r="L25" i="227"/>
  <c r="K25" i="227"/>
  <c r="J25" i="227"/>
  <c r="I25" i="227"/>
  <c r="H25" i="227"/>
  <c r="G25" i="227"/>
  <c r="F25" i="227"/>
  <c r="E25" i="227"/>
  <c r="D25" i="227"/>
  <c r="O24" i="227"/>
  <c r="N24" i="227"/>
  <c r="M24" i="227"/>
  <c r="L24" i="227"/>
  <c r="K24" i="227"/>
  <c r="J24" i="227"/>
  <c r="I24" i="227"/>
  <c r="H24" i="227"/>
  <c r="G24" i="227"/>
  <c r="F24" i="227"/>
  <c r="E24" i="227"/>
  <c r="D24" i="227"/>
  <c r="O23" i="227"/>
  <c r="N23" i="227"/>
  <c r="M23" i="227"/>
  <c r="L23" i="227"/>
  <c r="K23" i="227"/>
  <c r="J23" i="227"/>
  <c r="I23" i="227"/>
  <c r="H23" i="227"/>
  <c r="G23" i="227"/>
  <c r="F23" i="227"/>
  <c r="E23" i="227"/>
  <c r="D23" i="227"/>
  <c r="O21" i="227"/>
  <c r="N21" i="227"/>
  <c r="M21" i="227"/>
  <c r="L21" i="227"/>
  <c r="K21" i="227"/>
  <c r="J21" i="227"/>
  <c r="I21" i="227"/>
  <c r="H21" i="227"/>
  <c r="G21" i="227"/>
  <c r="F21" i="227"/>
  <c r="E21" i="227"/>
  <c r="D21" i="227"/>
  <c r="O20" i="227"/>
  <c r="N20" i="227"/>
  <c r="M20" i="227"/>
  <c r="L20" i="227"/>
  <c r="K20" i="227"/>
  <c r="J20" i="227"/>
  <c r="I20" i="227"/>
  <c r="H20" i="227"/>
  <c r="G20" i="227"/>
  <c r="F20" i="227"/>
  <c r="E20" i="227"/>
  <c r="D20" i="227"/>
  <c r="O19" i="227"/>
  <c r="N19" i="227"/>
  <c r="M19" i="227"/>
  <c r="L19" i="227"/>
  <c r="K19" i="227"/>
  <c r="J19" i="227"/>
  <c r="I19" i="227"/>
  <c r="H19" i="227"/>
  <c r="G19" i="227"/>
  <c r="F19" i="227"/>
  <c r="E19" i="227"/>
  <c r="D19" i="227"/>
  <c r="O18" i="227"/>
  <c r="N18" i="227"/>
  <c r="M18" i="227"/>
  <c r="L18" i="227"/>
  <c r="K18" i="227"/>
  <c r="J18" i="227"/>
  <c r="I18" i="227"/>
  <c r="H18" i="227"/>
  <c r="G18" i="227"/>
  <c r="F18" i="227"/>
  <c r="E18" i="227"/>
  <c r="D18" i="227"/>
  <c r="O17" i="227"/>
  <c r="N17" i="227"/>
  <c r="M17" i="227"/>
  <c r="L17" i="227"/>
  <c r="K17" i="227"/>
  <c r="J17" i="227"/>
  <c r="I17" i="227"/>
  <c r="H17" i="227"/>
  <c r="G17" i="227"/>
  <c r="F17" i="227"/>
  <c r="E17" i="227"/>
  <c r="D17" i="227"/>
  <c r="O16" i="227"/>
  <c r="N16" i="227"/>
  <c r="M16" i="227"/>
  <c r="L16" i="227"/>
  <c r="K16" i="227"/>
  <c r="J16" i="227"/>
  <c r="I16" i="227"/>
  <c r="H16" i="227"/>
  <c r="G16" i="227"/>
  <c r="F16" i="227"/>
  <c r="E16" i="227"/>
  <c r="D16" i="227"/>
  <c r="O15" i="227"/>
  <c r="N15" i="227"/>
  <c r="M15" i="227"/>
  <c r="L15" i="227"/>
  <c r="K15" i="227"/>
  <c r="J15" i="227"/>
  <c r="I15" i="227"/>
  <c r="H15" i="227"/>
  <c r="G15" i="227"/>
  <c r="F15" i="227"/>
  <c r="E15" i="227"/>
  <c r="D15" i="227"/>
  <c r="O14" i="227"/>
  <c r="N14" i="227"/>
  <c r="M14" i="227"/>
  <c r="L14" i="227"/>
  <c r="K14" i="227"/>
  <c r="J14" i="227"/>
  <c r="I14" i="227"/>
  <c r="H14" i="227"/>
  <c r="G14" i="227"/>
  <c r="F14" i="227"/>
  <c r="E14" i="227"/>
  <c r="D14" i="227"/>
  <c r="O28" i="193"/>
  <c r="N28" i="193"/>
  <c r="M28" i="193"/>
  <c r="L28" i="193"/>
  <c r="K28" i="193"/>
  <c r="J28" i="193"/>
  <c r="O27" i="193"/>
  <c r="N27" i="193"/>
  <c r="M27" i="193"/>
  <c r="L27" i="193"/>
  <c r="K27" i="193"/>
  <c r="J27" i="193"/>
  <c r="O26" i="193"/>
  <c r="N26" i="193"/>
  <c r="M26" i="193"/>
  <c r="L26" i="193"/>
  <c r="K26" i="193"/>
  <c r="J26" i="193"/>
  <c r="O25" i="193"/>
  <c r="N25" i="193"/>
  <c r="M25" i="193"/>
  <c r="L25" i="193"/>
  <c r="K25" i="193"/>
  <c r="J25" i="193"/>
  <c r="O24" i="193"/>
  <c r="N24" i="193"/>
  <c r="M24" i="193"/>
  <c r="L24" i="193"/>
  <c r="K24" i="193"/>
  <c r="J24" i="193"/>
  <c r="O23" i="193"/>
  <c r="N23" i="193"/>
  <c r="M23" i="193"/>
  <c r="L23" i="193"/>
  <c r="K23" i="193"/>
  <c r="J23" i="193"/>
  <c r="O21" i="193"/>
  <c r="N21" i="193"/>
  <c r="M21" i="193"/>
  <c r="L21" i="193"/>
  <c r="K21" i="193"/>
  <c r="J21" i="193"/>
  <c r="O20" i="193"/>
  <c r="N20" i="193"/>
  <c r="M20" i="193"/>
  <c r="L20" i="193"/>
  <c r="K20" i="193"/>
  <c r="J20" i="193"/>
  <c r="O19" i="193"/>
  <c r="N19" i="193"/>
  <c r="M19" i="193"/>
  <c r="L19" i="193"/>
  <c r="K19" i="193"/>
  <c r="J19" i="193"/>
  <c r="O18" i="193"/>
  <c r="N18" i="193"/>
  <c r="M18" i="193"/>
  <c r="L18" i="193"/>
  <c r="K18" i="193"/>
  <c r="J18" i="193"/>
  <c r="O17" i="193"/>
  <c r="N17" i="193"/>
  <c r="M17" i="193"/>
  <c r="L17" i="193"/>
  <c r="K17" i="193"/>
  <c r="J17" i="193"/>
  <c r="O16" i="193"/>
  <c r="N16" i="193"/>
  <c r="M16" i="193"/>
  <c r="L16" i="193"/>
  <c r="K16" i="193"/>
  <c r="J16" i="193"/>
  <c r="O15" i="193"/>
  <c r="N15" i="193"/>
  <c r="M15" i="193"/>
  <c r="L15" i="193"/>
  <c r="K15" i="193"/>
  <c r="J15" i="193"/>
  <c r="O14" i="193"/>
  <c r="N14" i="193"/>
  <c r="M14" i="193"/>
  <c r="L14" i="193"/>
  <c r="K14" i="193"/>
  <c r="J14" i="193"/>
  <c r="G28" i="102"/>
  <c r="G27" i="102"/>
  <c r="C28" i="102"/>
  <c r="C27" i="102"/>
  <c r="H26" i="105"/>
  <c r="D26" i="105"/>
  <c r="O33" i="226"/>
  <c r="N33" i="226"/>
  <c r="M33" i="226"/>
  <c r="L33" i="226"/>
  <c r="K33" i="226"/>
  <c r="J33" i="226"/>
  <c r="I33" i="226"/>
  <c r="H33" i="226"/>
  <c r="G33" i="226"/>
  <c r="F33" i="226"/>
  <c r="E33" i="226"/>
  <c r="D33" i="226"/>
  <c r="O32" i="226"/>
  <c r="N32" i="226"/>
  <c r="M32" i="226"/>
  <c r="L32" i="226"/>
  <c r="K32" i="226"/>
  <c r="J32" i="226"/>
  <c r="I32" i="226"/>
  <c r="H32" i="226"/>
  <c r="G32" i="226"/>
  <c r="F32" i="226"/>
  <c r="E32" i="226"/>
  <c r="D32" i="226"/>
  <c r="O31" i="226"/>
  <c r="N31" i="226"/>
  <c r="M31" i="226"/>
  <c r="L31" i="226"/>
  <c r="K31" i="226"/>
  <c r="J31" i="226"/>
  <c r="I31" i="226"/>
  <c r="H31" i="226"/>
  <c r="G31" i="226"/>
  <c r="F31" i="226"/>
  <c r="E31" i="226"/>
  <c r="D31" i="226"/>
  <c r="O30" i="226"/>
  <c r="N30" i="226"/>
  <c r="M30" i="226"/>
  <c r="L30" i="226"/>
  <c r="K30" i="226"/>
  <c r="J30" i="226"/>
  <c r="I30" i="226"/>
  <c r="H30" i="226"/>
  <c r="G30" i="226"/>
  <c r="F30" i="226"/>
  <c r="E30" i="226"/>
  <c r="D30" i="226"/>
  <c r="O29" i="226"/>
  <c r="N29" i="226"/>
  <c r="M29" i="226"/>
  <c r="L29" i="226"/>
  <c r="K29" i="226"/>
  <c r="J29" i="226"/>
  <c r="I29" i="226"/>
  <c r="H29" i="226"/>
  <c r="G29" i="226"/>
  <c r="F29" i="226"/>
  <c r="E29" i="226"/>
  <c r="D29" i="226"/>
  <c r="O28" i="226"/>
  <c r="N28" i="226"/>
  <c r="M28" i="226"/>
  <c r="L28" i="226"/>
  <c r="K28" i="226"/>
  <c r="J28" i="226"/>
  <c r="I28" i="226"/>
  <c r="H28" i="226"/>
  <c r="G28" i="226"/>
  <c r="F28" i="226"/>
  <c r="E28" i="226"/>
  <c r="D28" i="226"/>
  <c r="O27" i="226"/>
  <c r="N27" i="226"/>
  <c r="M27" i="226"/>
  <c r="L27" i="226"/>
  <c r="K27" i="226"/>
  <c r="J27" i="226"/>
  <c r="I27" i="226"/>
  <c r="H27" i="226"/>
  <c r="G27" i="226"/>
  <c r="F27" i="226"/>
  <c r="E27" i="226"/>
  <c r="D27" i="226"/>
  <c r="O26" i="226"/>
  <c r="N26" i="226"/>
  <c r="M26" i="226"/>
  <c r="L26" i="226"/>
  <c r="K26" i="226"/>
  <c r="J26" i="226"/>
  <c r="I26" i="226"/>
  <c r="H26" i="226"/>
  <c r="G26" i="226"/>
  <c r="F26" i="226"/>
  <c r="E26" i="226"/>
  <c r="D26" i="226"/>
  <c r="O24" i="226"/>
  <c r="N24" i="226"/>
  <c r="M24" i="226"/>
  <c r="L24" i="226"/>
  <c r="K24" i="226"/>
  <c r="J24" i="226"/>
  <c r="I24" i="226"/>
  <c r="H24" i="226"/>
  <c r="G24" i="226"/>
  <c r="F24" i="226"/>
  <c r="E24" i="226"/>
  <c r="D24" i="226"/>
  <c r="O23" i="226"/>
  <c r="N23" i="226"/>
  <c r="M23" i="226"/>
  <c r="L23" i="226"/>
  <c r="K23" i="226"/>
  <c r="J23" i="226"/>
  <c r="I23" i="226"/>
  <c r="H23" i="226"/>
  <c r="G23" i="226"/>
  <c r="F23" i="226"/>
  <c r="E23" i="226"/>
  <c r="D23" i="226"/>
  <c r="O22" i="226"/>
  <c r="N22" i="226"/>
  <c r="M22" i="226"/>
  <c r="L22" i="226"/>
  <c r="K22" i="226"/>
  <c r="J22" i="226"/>
  <c r="I22" i="226"/>
  <c r="H22" i="226"/>
  <c r="G22" i="226"/>
  <c r="F22" i="226"/>
  <c r="E22" i="226"/>
  <c r="D22" i="226"/>
  <c r="O21" i="226"/>
  <c r="N21" i="226"/>
  <c r="M21" i="226"/>
  <c r="L21" i="226"/>
  <c r="K21" i="226"/>
  <c r="J21" i="226"/>
  <c r="I21" i="226"/>
  <c r="H21" i="226"/>
  <c r="G21" i="226"/>
  <c r="F21" i="226"/>
  <c r="E21" i="226"/>
  <c r="D21" i="226"/>
  <c r="O20" i="226"/>
  <c r="N20" i="226"/>
  <c r="M20" i="226"/>
  <c r="L20" i="226"/>
  <c r="K20" i="226"/>
  <c r="J20" i="226"/>
  <c r="I20" i="226"/>
  <c r="H20" i="226"/>
  <c r="G20" i="226"/>
  <c r="F20" i="226"/>
  <c r="E20" i="226"/>
  <c r="D20" i="226"/>
  <c r="O19" i="226"/>
  <c r="N19" i="226"/>
  <c r="M19" i="226"/>
  <c r="L19" i="226"/>
  <c r="K19" i="226"/>
  <c r="J19" i="226"/>
  <c r="I19" i="226"/>
  <c r="H19" i="226"/>
  <c r="G19" i="226"/>
  <c r="F19" i="226"/>
  <c r="E19" i="226"/>
  <c r="D19" i="226"/>
  <c r="O18" i="226"/>
  <c r="N18" i="226"/>
  <c r="M18" i="226"/>
  <c r="L18" i="226"/>
  <c r="K18" i="226"/>
  <c r="J18" i="226"/>
  <c r="I18" i="226"/>
  <c r="H18" i="226"/>
  <c r="G18" i="226"/>
  <c r="F18" i="226"/>
  <c r="E18" i="226"/>
  <c r="D18" i="226"/>
  <c r="O17" i="226"/>
  <c r="N17" i="226"/>
  <c r="M17" i="226"/>
  <c r="L17" i="226"/>
  <c r="K17" i="226"/>
  <c r="J17" i="226"/>
  <c r="I17" i="226"/>
  <c r="H17" i="226"/>
  <c r="G17" i="226"/>
  <c r="F17" i="226"/>
  <c r="E17" i="226"/>
  <c r="D17" i="226"/>
  <c r="O16" i="226"/>
  <c r="N16" i="226"/>
  <c r="M16" i="226"/>
  <c r="L16" i="226"/>
  <c r="K16" i="226"/>
  <c r="J16" i="226"/>
  <c r="I16" i="226"/>
  <c r="H16" i="226"/>
  <c r="G16" i="226"/>
  <c r="F16" i="226"/>
  <c r="E16" i="226"/>
  <c r="D16" i="226"/>
  <c r="O15" i="226"/>
  <c r="N15" i="226"/>
  <c r="M15" i="226"/>
  <c r="L15" i="226"/>
  <c r="K15" i="226"/>
  <c r="J15" i="226"/>
  <c r="I15" i="226"/>
  <c r="H15" i="226"/>
  <c r="G15" i="226"/>
  <c r="F15" i="226"/>
  <c r="E15" i="226"/>
  <c r="D15" i="226"/>
  <c r="O14" i="226"/>
  <c r="N14" i="226"/>
  <c r="M14" i="226"/>
  <c r="L14" i="226"/>
  <c r="K14" i="226"/>
  <c r="J14" i="226"/>
  <c r="I14" i="226"/>
  <c r="H14" i="226"/>
  <c r="G14" i="226"/>
  <c r="F14" i="226"/>
  <c r="E14" i="226"/>
  <c r="D14" i="226"/>
  <c r="O35" i="190"/>
  <c r="N35" i="190"/>
  <c r="M35" i="190"/>
  <c r="L35" i="190"/>
  <c r="K35" i="190"/>
  <c r="J35" i="190"/>
  <c r="O34" i="190"/>
  <c r="N34" i="190"/>
  <c r="M34" i="190"/>
  <c r="L34" i="190"/>
  <c r="K34" i="190"/>
  <c r="J34" i="190"/>
  <c r="O33" i="190"/>
  <c r="N33" i="190"/>
  <c r="M33" i="190"/>
  <c r="L33" i="190"/>
  <c r="K33" i="190"/>
  <c r="J33" i="190"/>
  <c r="O32" i="190"/>
  <c r="N32" i="190"/>
  <c r="M32" i="190"/>
  <c r="L32" i="190"/>
  <c r="K32" i="190"/>
  <c r="J32" i="190"/>
  <c r="O31" i="190"/>
  <c r="N31" i="190"/>
  <c r="M31" i="190"/>
  <c r="L31" i="190"/>
  <c r="K31" i="190"/>
  <c r="J31" i="190"/>
  <c r="O30" i="190"/>
  <c r="N30" i="190"/>
  <c r="M30" i="190"/>
  <c r="L30" i="190"/>
  <c r="K30" i="190"/>
  <c r="J30" i="190"/>
  <c r="O29" i="190"/>
  <c r="N29" i="190"/>
  <c r="M29" i="190"/>
  <c r="L29" i="190"/>
  <c r="K29" i="190"/>
  <c r="J29" i="190"/>
  <c r="O28" i="190"/>
  <c r="N28" i="190"/>
  <c r="M28" i="190"/>
  <c r="L28" i="190"/>
  <c r="K28" i="190"/>
  <c r="J28" i="190"/>
  <c r="O26" i="190"/>
  <c r="N26" i="190"/>
  <c r="M26" i="190"/>
  <c r="L26" i="190"/>
  <c r="K26" i="190"/>
  <c r="J26" i="190"/>
  <c r="O25" i="190"/>
  <c r="N25" i="190"/>
  <c r="M25" i="190"/>
  <c r="L25" i="190"/>
  <c r="K25" i="190"/>
  <c r="J25" i="190"/>
  <c r="O24" i="190"/>
  <c r="N24" i="190"/>
  <c r="M24" i="190"/>
  <c r="L24" i="190"/>
  <c r="K24" i="190"/>
  <c r="J24" i="190"/>
  <c r="O23" i="190"/>
  <c r="N23" i="190"/>
  <c r="M23" i="190"/>
  <c r="L23" i="190"/>
  <c r="K23" i="190"/>
  <c r="J23" i="190"/>
  <c r="O22" i="190"/>
  <c r="N22" i="190"/>
  <c r="M22" i="190"/>
  <c r="L22" i="190"/>
  <c r="K22" i="190"/>
  <c r="J22" i="190"/>
  <c r="O21" i="190"/>
  <c r="N21" i="190"/>
  <c r="M21" i="190"/>
  <c r="L21" i="190"/>
  <c r="K21" i="190"/>
  <c r="J21" i="190"/>
  <c r="O20" i="190"/>
  <c r="N20" i="190"/>
  <c r="M20" i="190"/>
  <c r="L20" i="190"/>
  <c r="K20" i="190"/>
  <c r="J20" i="190"/>
  <c r="O19" i="190"/>
  <c r="N19" i="190"/>
  <c r="M19" i="190"/>
  <c r="L19" i="190"/>
  <c r="K19" i="190"/>
  <c r="J19" i="190"/>
  <c r="O18" i="190"/>
  <c r="N18" i="190"/>
  <c r="M18" i="190"/>
  <c r="L18" i="190"/>
  <c r="K18" i="190"/>
  <c r="J18" i="190"/>
  <c r="O17" i="190"/>
  <c r="N17" i="190"/>
  <c r="M17" i="190"/>
  <c r="L17" i="190"/>
  <c r="K17" i="190"/>
  <c r="J17" i="190"/>
  <c r="O16" i="190"/>
  <c r="N16" i="190"/>
  <c r="M16" i="190"/>
  <c r="L16" i="190"/>
  <c r="K16" i="190"/>
  <c r="J16" i="190"/>
  <c r="G18" i="102"/>
  <c r="G17" i="102"/>
  <c r="C18" i="102"/>
  <c r="C17" i="102"/>
  <c r="J132" i="51"/>
  <c r="H132" i="51"/>
  <c r="F132" i="51"/>
  <c r="J131" i="51"/>
  <c r="H131" i="51"/>
  <c r="F131" i="51"/>
  <c r="J130" i="51"/>
  <c r="H130" i="51"/>
  <c r="F130" i="51"/>
  <c r="J129" i="51"/>
  <c r="H129" i="51"/>
  <c r="F129" i="51"/>
  <c r="J128" i="51"/>
  <c r="H128" i="51"/>
  <c r="F128" i="51"/>
  <c r="J127" i="51"/>
  <c r="H127" i="51"/>
  <c r="F127" i="51"/>
  <c r="J126" i="51"/>
  <c r="H126" i="51"/>
  <c r="F126" i="51"/>
  <c r="J125" i="51"/>
  <c r="H125" i="51"/>
  <c r="F125" i="51"/>
  <c r="J124" i="51"/>
  <c r="H124" i="51"/>
  <c r="F124" i="51"/>
  <c r="J123" i="51"/>
  <c r="H123" i="51"/>
  <c r="F123" i="51"/>
  <c r="J122" i="51"/>
  <c r="H122" i="51"/>
  <c r="F122" i="51"/>
  <c r="J121" i="51"/>
  <c r="H121" i="51"/>
  <c r="F121" i="51"/>
  <c r="J120" i="51"/>
  <c r="H120" i="51"/>
  <c r="F120" i="51"/>
  <c r="J119" i="51"/>
  <c r="H119" i="51"/>
  <c r="F119" i="51"/>
  <c r="J118" i="51"/>
  <c r="H118" i="51"/>
  <c r="F118" i="51"/>
  <c r="J117" i="51"/>
  <c r="H117" i="51"/>
  <c r="F117" i="51"/>
  <c r="J116" i="51"/>
  <c r="H116" i="51"/>
  <c r="F116" i="51"/>
  <c r="J115" i="51"/>
  <c r="H115" i="51"/>
  <c r="F115" i="51"/>
  <c r="J114" i="51"/>
  <c r="H114" i="51"/>
  <c r="F114" i="51"/>
  <c r="J113" i="51"/>
  <c r="H113" i="51"/>
  <c r="F113" i="51"/>
  <c r="J112" i="51"/>
  <c r="H112" i="51"/>
  <c r="F112" i="51"/>
  <c r="J111" i="51"/>
  <c r="H111" i="51"/>
  <c r="F111" i="51"/>
  <c r="L110" i="51"/>
  <c r="J110" i="51"/>
  <c r="H110" i="51"/>
  <c r="F110" i="51"/>
  <c r="J109" i="51"/>
  <c r="H109" i="51"/>
  <c r="F109" i="51"/>
  <c r="J108" i="51"/>
  <c r="H108" i="51"/>
  <c r="F108" i="51"/>
  <c r="J107" i="51"/>
  <c r="H107" i="51"/>
  <c r="F107" i="51"/>
  <c r="J106" i="51"/>
  <c r="H106" i="51"/>
  <c r="F106" i="51"/>
  <c r="J105" i="51"/>
  <c r="H105" i="51"/>
  <c r="F105" i="51"/>
  <c r="J104" i="51"/>
  <c r="H104" i="51"/>
  <c r="F104" i="51"/>
  <c r="J103" i="51"/>
  <c r="H103" i="51"/>
  <c r="F103" i="51"/>
  <c r="J102" i="51"/>
  <c r="H102" i="51"/>
  <c r="F102" i="51"/>
  <c r="J101" i="51"/>
  <c r="H101" i="51"/>
  <c r="F101" i="51"/>
  <c r="J100" i="51"/>
  <c r="H100" i="51"/>
  <c r="F100" i="51"/>
  <c r="J99" i="51"/>
  <c r="H99" i="51"/>
  <c r="F99" i="51"/>
  <c r="J93" i="51"/>
  <c r="H93" i="51"/>
  <c r="F93" i="51"/>
  <c r="J92" i="51"/>
  <c r="H92" i="51"/>
  <c r="F92" i="51"/>
  <c r="J91" i="51"/>
  <c r="H91" i="51"/>
  <c r="F91" i="51"/>
  <c r="J90" i="51"/>
  <c r="H90" i="51"/>
  <c r="F90" i="51"/>
  <c r="J89" i="51"/>
  <c r="H89" i="51"/>
  <c r="F89" i="51"/>
  <c r="J88" i="51"/>
  <c r="H88" i="51"/>
  <c r="F88" i="51"/>
  <c r="J87" i="51"/>
  <c r="H87" i="51"/>
  <c r="F87" i="51"/>
  <c r="J86" i="51"/>
  <c r="H86" i="51"/>
  <c r="F86" i="51"/>
  <c r="J85" i="51"/>
  <c r="H85" i="51"/>
  <c r="F85" i="51"/>
  <c r="J84" i="51"/>
  <c r="H84" i="51"/>
  <c r="F84" i="51"/>
  <c r="J83" i="51"/>
  <c r="H83" i="51"/>
  <c r="F83" i="51"/>
  <c r="J82" i="51"/>
  <c r="H82" i="51"/>
  <c r="F82" i="51"/>
  <c r="J81" i="51"/>
  <c r="H81" i="51"/>
  <c r="F81" i="51"/>
  <c r="J80" i="51"/>
  <c r="H80" i="51"/>
  <c r="F80" i="51"/>
  <c r="J79" i="51"/>
  <c r="H79" i="51"/>
  <c r="F79" i="51"/>
  <c r="J78" i="51"/>
  <c r="H78" i="51"/>
  <c r="F78" i="51"/>
  <c r="J77" i="51"/>
  <c r="H77" i="51"/>
  <c r="F77" i="51"/>
  <c r="J76" i="51"/>
  <c r="H76" i="51"/>
  <c r="F76" i="51"/>
  <c r="J75" i="51"/>
  <c r="H75" i="51"/>
  <c r="F75" i="51"/>
  <c r="J74" i="51"/>
  <c r="H74" i="51"/>
  <c r="F74" i="51"/>
  <c r="J73" i="51"/>
  <c r="H73" i="51"/>
  <c r="F73" i="51"/>
  <c r="J72" i="51"/>
  <c r="H72" i="51"/>
  <c r="F72" i="51"/>
  <c r="J71" i="51"/>
  <c r="H71" i="51"/>
  <c r="F71" i="51"/>
  <c r="J70" i="51"/>
  <c r="H70" i="51"/>
  <c r="F70" i="51"/>
  <c r="J69" i="51"/>
  <c r="H69" i="51"/>
  <c r="F69" i="51"/>
  <c r="J68" i="51"/>
  <c r="H68" i="51"/>
  <c r="F68" i="51"/>
  <c r="J67" i="51"/>
  <c r="H67" i="51"/>
  <c r="F67" i="51"/>
  <c r="J66" i="51"/>
  <c r="H66" i="51"/>
  <c r="F66" i="51"/>
  <c r="J65" i="51"/>
  <c r="H65" i="51"/>
  <c r="F65" i="51"/>
  <c r="J64" i="51"/>
  <c r="H64" i="51"/>
  <c r="F64" i="51"/>
  <c r="J63" i="51"/>
  <c r="H63" i="51"/>
  <c r="F63" i="51"/>
  <c r="J62" i="51"/>
  <c r="H62" i="51"/>
  <c r="F62" i="51"/>
  <c r="J61" i="51"/>
  <c r="H61" i="51"/>
  <c r="F61" i="51"/>
  <c r="J60" i="51"/>
  <c r="H60" i="51"/>
  <c r="F60" i="51"/>
  <c r="J59" i="51"/>
  <c r="H59" i="51"/>
  <c r="F59" i="51"/>
  <c r="J58" i="51"/>
  <c r="H58" i="51"/>
  <c r="F58" i="51"/>
  <c r="J57" i="51"/>
  <c r="H57" i="51"/>
  <c r="F57" i="51"/>
  <c r="J56" i="51"/>
  <c r="H56" i="51"/>
  <c r="F56" i="51"/>
  <c r="J55" i="51"/>
  <c r="H55" i="51"/>
  <c r="F55" i="51"/>
  <c r="J54" i="51"/>
  <c r="H54" i="51"/>
  <c r="F54" i="51"/>
  <c r="J53" i="51"/>
  <c r="H53" i="51"/>
  <c r="F53" i="51"/>
  <c r="J52" i="51"/>
  <c r="H52" i="51"/>
  <c r="F52" i="51"/>
  <c r="J51" i="51"/>
  <c r="H51" i="51"/>
  <c r="F51" i="51"/>
  <c r="J50" i="51"/>
  <c r="H50" i="51"/>
  <c r="F50" i="51"/>
  <c r="J49" i="51"/>
  <c r="H49" i="51"/>
  <c r="F49" i="51"/>
  <c r="J48" i="51"/>
  <c r="H48" i="51"/>
  <c r="F48" i="51"/>
  <c r="O108" i="222"/>
  <c r="N108" i="222"/>
  <c r="M108" i="222"/>
  <c r="L108" i="222"/>
  <c r="K108" i="222"/>
  <c r="J108" i="222"/>
  <c r="I108" i="222"/>
  <c r="H108" i="222"/>
  <c r="G108" i="222"/>
  <c r="F108" i="222"/>
  <c r="E108" i="222"/>
  <c r="D108" i="222"/>
  <c r="O107" i="222"/>
  <c r="N107" i="222"/>
  <c r="M107" i="222"/>
  <c r="L107" i="222"/>
  <c r="K107" i="222"/>
  <c r="J107" i="222"/>
  <c r="I107" i="222"/>
  <c r="H107" i="222"/>
  <c r="G107" i="222"/>
  <c r="F107" i="222"/>
  <c r="E107" i="222"/>
  <c r="D107" i="222"/>
  <c r="O106" i="222"/>
  <c r="N106" i="222"/>
  <c r="M106" i="222"/>
  <c r="L106" i="222"/>
  <c r="K106" i="222"/>
  <c r="J106" i="222"/>
  <c r="I106" i="222"/>
  <c r="H106" i="222"/>
  <c r="G106" i="222"/>
  <c r="F106" i="222"/>
  <c r="E106" i="222"/>
  <c r="D106" i="222"/>
  <c r="O105" i="222"/>
  <c r="N105" i="222"/>
  <c r="M105" i="222"/>
  <c r="L105" i="222"/>
  <c r="K105" i="222"/>
  <c r="J105" i="222"/>
  <c r="I105" i="222"/>
  <c r="H105" i="222"/>
  <c r="G105" i="222"/>
  <c r="F105" i="222"/>
  <c r="E105" i="222"/>
  <c r="D105" i="222"/>
  <c r="O104" i="222"/>
  <c r="N104" i="222"/>
  <c r="M104" i="222"/>
  <c r="L104" i="222"/>
  <c r="K104" i="222"/>
  <c r="J104" i="222"/>
  <c r="I104" i="222"/>
  <c r="H104" i="222"/>
  <c r="G104" i="222"/>
  <c r="F104" i="222"/>
  <c r="E104" i="222"/>
  <c r="D104" i="222"/>
  <c r="O103" i="222"/>
  <c r="N103" i="222"/>
  <c r="M103" i="222"/>
  <c r="L103" i="222"/>
  <c r="K103" i="222"/>
  <c r="J103" i="222"/>
  <c r="I103" i="222"/>
  <c r="H103" i="222"/>
  <c r="G103" i="222"/>
  <c r="F103" i="222"/>
  <c r="E103" i="222"/>
  <c r="D103" i="222"/>
  <c r="O102" i="222"/>
  <c r="N102" i="222"/>
  <c r="M102" i="222"/>
  <c r="L102" i="222"/>
  <c r="K102" i="222"/>
  <c r="J102" i="222"/>
  <c r="I102" i="222"/>
  <c r="H102" i="222"/>
  <c r="G102" i="222"/>
  <c r="F102" i="222"/>
  <c r="E102" i="222"/>
  <c r="D102" i="222"/>
  <c r="O101" i="222"/>
  <c r="N101" i="222"/>
  <c r="M101" i="222"/>
  <c r="L101" i="222"/>
  <c r="K101" i="222"/>
  <c r="J101" i="222"/>
  <c r="I101" i="222"/>
  <c r="H101" i="222"/>
  <c r="G101" i="222"/>
  <c r="F101" i="222"/>
  <c r="E101" i="222"/>
  <c r="D101" i="222"/>
  <c r="O100" i="222"/>
  <c r="N100" i="222"/>
  <c r="M100" i="222"/>
  <c r="L100" i="222"/>
  <c r="K100" i="222"/>
  <c r="J100" i="222"/>
  <c r="I100" i="222"/>
  <c r="H100" i="222"/>
  <c r="G100" i="222"/>
  <c r="F100" i="222"/>
  <c r="E100" i="222"/>
  <c r="D100" i="222"/>
  <c r="O98" i="222"/>
  <c r="N98" i="222"/>
  <c r="M98" i="222"/>
  <c r="L98" i="222"/>
  <c r="K98" i="222"/>
  <c r="J98" i="222"/>
  <c r="I98" i="222"/>
  <c r="H98" i="222"/>
  <c r="G98" i="222"/>
  <c r="F98" i="222"/>
  <c r="E98" i="222"/>
  <c r="D98" i="222"/>
  <c r="O97" i="222"/>
  <c r="N97" i="222"/>
  <c r="M97" i="222"/>
  <c r="L97" i="222"/>
  <c r="K97" i="222"/>
  <c r="J97" i="222"/>
  <c r="I97" i="222"/>
  <c r="H97" i="222"/>
  <c r="G97" i="222"/>
  <c r="F97" i="222"/>
  <c r="E97" i="222"/>
  <c r="D97" i="222"/>
  <c r="O96" i="222"/>
  <c r="N96" i="222"/>
  <c r="M96" i="222"/>
  <c r="L96" i="222"/>
  <c r="K96" i="222"/>
  <c r="J96" i="222"/>
  <c r="I96" i="222"/>
  <c r="H96" i="222"/>
  <c r="G96" i="222"/>
  <c r="F96" i="222"/>
  <c r="E96" i="222"/>
  <c r="D96" i="222"/>
  <c r="O95" i="222"/>
  <c r="N95" i="222"/>
  <c r="M95" i="222"/>
  <c r="L95" i="222"/>
  <c r="K95" i="222"/>
  <c r="J95" i="222"/>
  <c r="I95" i="222"/>
  <c r="H95" i="222"/>
  <c r="G95" i="222"/>
  <c r="F95" i="222"/>
  <c r="E95" i="222"/>
  <c r="D95" i="222"/>
  <c r="O94" i="222"/>
  <c r="N94" i="222"/>
  <c r="M94" i="222"/>
  <c r="L94" i="222"/>
  <c r="K94" i="222"/>
  <c r="J94" i="222"/>
  <c r="I94" i="222"/>
  <c r="H94" i="222"/>
  <c r="G94" i="222"/>
  <c r="F94" i="222"/>
  <c r="E94" i="222"/>
  <c r="D94" i="222"/>
  <c r="O93" i="222"/>
  <c r="N93" i="222"/>
  <c r="M93" i="222"/>
  <c r="L93" i="222"/>
  <c r="K93" i="222"/>
  <c r="J93" i="222"/>
  <c r="I93" i="222"/>
  <c r="H93" i="222"/>
  <c r="G93" i="222"/>
  <c r="F93" i="222"/>
  <c r="E93" i="222"/>
  <c r="D93" i="222"/>
  <c r="O92" i="222"/>
  <c r="N92" i="222"/>
  <c r="M92" i="222"/>
  <c r="L92" i="222"/>
  <c r="K92" i="222"/>
  <c r="J92" i="222"/>
  <c r="I92" i="222"/>
  <c r="H92" i="222"/>
  <c r="G92" i="222"/>
  <c r="F92" i="222"/>
  <c r="E92" i="222"/>
  <c r="D92" i="222"/>
  <c r="O90" i="222"/>
  <c r="N90" i="222"/>
  <c r="M90" i="222"/>
  <c r="L90" i="222"/>
  <c r="K90" i="222"/>
  <c r="J90" i="222"/>
  <c r="I90" i="222"/>
  <c r="H90" i="222"/>
  <c r="G90" i="222"/>
  <c r="F90" i="222"/>
  <c r="E90" i="222"/>
  <c r="D90" i="222"/>
  <c r="O89" i="222"/>
  <c r="N89" i="222"/>
  <c r="M89" i="222"/>
  <c r="L89" i="222"/>
  <c r="K89" i="222"/>
  <c r="J89" i="222"/>
  <c r="I89" i="222"/>
  <c r="H89" i="222"/>
  <c r="G89" i="222"/>
  <c r="F89" i="222"/>
  <c r="E89" i="222"/>
  <c r="D89" i="222"/>
  <c r="O88" i="222"/>
  <c r="N88" i="222"/>
  <c r="M88" i="222"/>
  <c r="L88" i="222"/>
  <c r="K88" i="222"/>
  <c r="J88" i="222"/>
  <c r="I88" i="222"/>
  <c r="H88" i="222"/>
  <c r="G88" i="222"/>
  <c r="F88" i="222"/>
  <c r="E88" i="222"/>
  <c r="D88" i="222"/>
  <c r="O87" i="222"/>
  <c r="N87" i="222"/>
  <c r="M87" i="222"/>
  <c r="L87" i="222"/>
  <c r="K87" i="222"/>
  <c r="J87" i="222"/>
  <c r="I87" i="222"/>
  <c r="H87" i="222"/>
  <c r="G87" i="222"/>
  <c r="F87" i="222"/>
  <c r="E87" i="222"/>
  <c r="D87" i="222"/>
  <c r="O86" i="222"/>
  <c r="N86" i="222"/>
  <c r="M86" i="222"/>
  <c r="L86" i="222"/>
  <c r="K86" i="222"/>
  <c r="J86" i="222"/>
  <c r="I86" i="222"/>
  <c r="H86" i="222"/>
  <c r="G86" i="222"/>
  <c r="F86" i="222"/>
  <c r="E86" i="222"/>
  <c r="D86" i="222"/>
  <c r="O85" i="222"/>
  <c r="N85" i="222"/>
  <c r="M85" i="222"/>
  <c r="L85" i="222"/>
  <c r="K85" i="222"/>
  <c r="J85" i="222"/>
  <c r="I85" i="222"/>
  <c r="H85" i="222"/>
  <c r="G85" i="222"/>
  <c r="F85" i="222"/>
  <c r="E85" i="222"/>
  <c r="D85" i="222"/>
  <c r="O84" i="222"/>
  <c r="N84" i="222"/>
  <c r="M84" i="222"/>
  <c r="L84" i="222"/>
  <c r="K84" i="222"/>
  <c r="J84" i="222"/>
  <c r="I84" i="222"/>
  <c r="H84" i="222"/>
  <c r="G84" i="222"/>
  <c r="F84" i="222"/>
  <c r="E84" i="222"/>
  <c r="D84" i="222"/>
  <c r="O83" i="222"/>
  <c r="N83" i="222"/>
  <c r="M83" i="222"/>
  <c r="L83" i="222"/>
  <c r="K83" i="222"/>
  <c r="J83" i="222"/>
  <c r="I83" i="222"/>
  <c r="H83" i="222"/>
  <c r="G83" i="222"/>
  <c r="F83" i="222"/>
  <c r="E83" i="222"/>
  <c r="D83" i="222"/>
  <c r="O82" i="222"/>
  <c r="N82" i="222"/>
  <c r="M82" i="222"/>
  <c r="L82" i="222"/>
  <c r="K82" i="222"/>
  <c r="J82" i="222"/>
  <c r="I82" i="222"/>
  <c r="H82" i="222"/>
  <c r="G82" i="222"/>
  <c r="F82" i="222"/>
  <c r="E82" i="222"/>
  <c r="D82" i="222"/>
  <c r="O81" i="222"/>
  <c r="N81" i="222"/>
  <c r="M81" i="222"/>
  <c r="L81" i="222"/>
  <c r="K81" i="222"/>
  <c r="J81" i="222"/>
  <c r="I81" i="222"/>
  <c r="H81" i="222"/>
  <c r="G81" i="222"/>
  <c r="F81" i="222"/>
  <c r="E81" i="222"/>
  <c r="D81" i="222"/>
  <c r="O80" i="222"/>
  <c r="N80" i="222"/>
  <c r="M80" i="222"/>
  <c r="L80" i="222"/>
  <c r="K80" i="222"/>
  <c r="J80" i="222"/>
  <c r="I80" i="222"/>
  <c r="H80" i="222"/>
  <c r="G80" i="222"/>
  <c r="F80" i="222"/>
  <c r="E80" i="222"/>
  <c r="D80" i="222"/>
  <c r="O79" i="222"/>
  <c r="N79" i="222"/>
  <c r="M79" i="222"/>
  <c r="L79" i="222"/>
  <c r="K79" i="222"/>
  <c r="J79" i="222"/>
  <c r="I79" i="222"/>
  <c r="H79" i="222"/>
  <c r="G79" i="222"/>
  <c r="F79" i="222"/>
  <c r="E79" i="222"/>
  <c r="D79" i="222"/>
  <c r="O78" i="222"/>
  <c r="N78" i="222"/>
  <c r="M78" i="222"/>
  <c r="L78" i="222"/>
  <c r="K78" i="222"/>
  <c r="J78" i="222"/>
  <c r="I78" i="222"/>
  <c r="H78" i="222"/>
  <c r="G78" i="222"/>
  <c r="F78" i="222"/>
  <c r="E78" i="222"/>
  <c r="D78" i="222"/>
  <c r="O77" i="222"/>
  <c r="N77" i="222"/>
  <c r="M77" i="222"/>
  <c r="L77" i="222"/>
  <c r="K77" i="222"/>
  <c r="J77" i="222"/>
  <c r="I77" i="222"/>
  <c r="H77" i="222"/>
  <c r="G77" i="222"/>
  <c r="F77" i="222"/>
  <c r="E77" i="222"/>
  <c r="D77" i="222"/>
  <c r="O76" i="222"/>
  <c r="N76" i="222"/>
  <c r="M76" i="222"/>
  <c r="L76" i="222"/>
  <c r="K76" i="222"/>
  <c r="J76" i="222"/>
  <c r="I76" i="222"/>
  <c r="H76" i="222"/>
  <c r="G76" i="222"/>
  <c r="F76" i="222"/>
  <c r="E76" i="222"/>
  <c r="D76" i="222"/>
  <c r="O75" i="222"/>
  <c r="N75" i="222"/>
  <c r="M75" i="222"/>
  <c r="L75" i="222"/>
  <c r="K75" i="222"/>
  <c r="J75" i="222"/>
  <c r="I75" i="222"/>
  <c r="H75" i="222"/>
  <c r="G75" i="222"/>
  <c r="F75" i="222"/>
  <c r="E75" i="222"/>
  <c r="D75" i="222"/>
  <c r="O74" i="222"/>
  <c r="N74" i="222"/>
  <c r="M74" i="222"/>
  <c r="L74" i="222"/>
  <c r="K74" i="222"/>
  <c r="J74" i="222"/>
  <c r="I74" i="222"/>
  <c r="H74" i="222"/>
  <c r="G74" i="222"/>
  <c r="F74" i="222"/>
  <c r="E74" i="222"/>
  <c r="D74" i="222"/>
  <c r="O73" i="222"/>
  <c r="N73" i="222"/>
  <c r="M73" i="222"/>
  <c r="L73" i="222"/>
  <c r="K73" i="222"/>
  <c r="J73" i="222"/>
  <c r="I73" i="222"/>
  <c r="H73" i="222"/>
  <c r="G73" i="222"/>
  <c r="F73" i="222"/>
  <c r="E73" i="222"/>
  <c r="D73" i="222"/>
  <c r="O72" i="222"/>
  <c r="N72" i="222"/>
  <c r="M72" i="222"/>
  <c r="L72" i="222"/>
  <c r="K72" i="222"/>
  <c r="J72" i="222"/>
  <c r="I72" i="222"/>
  <c r="H72" i="222"/>
  <c r="G72" i="222"/>
  <c r="F72" i="222"/>
  <c r="E72" i="222"/>
  <c r="D72" i="222"/>
  <c r="O71" i="222"/>
  <c r="N71" i="222"/>
  <c r="M71" i="222"/>
  <c r="L71" i="222"/>
  <c r="K71" i="222"/>
  <c r="J71" i="222"/>
  <c r="I71" i="222"/>
  <c r="H71" i="222"/>
  <c r="G71" i="222"/>
  <c r="F71" i="222"/>
  <c r="E71" i="222"/>
  <c r="D71" i="222"/>
  <c r="O70" i="222"/>
  <c r="N70" i="222"/>
  <c r="M70" i="222"/>
  <c r="L70" i="222"/>
  <c r="K70" i="222"/>
  <c r="J70" i="222"/>
  <c r="I70" i="222"/>
  <c r="H70" i="222"/>
  <c r="G70" i="222"/>
  <c r="F70" i="222"/>
  <c r="E70" i="222"/>
  <c r="D70" i="222"/>
  <c r="O69" i="222"/>
  <c r="N69" i="222"/>
  <c r="M69" i="222"/>
  <c r="L69" i="222"/>
  <c r="K69" i="222"/>
  <c r="J69" i="222"/>
  <c r="I69" i="222"/>
  <c r="H69" i="222"/>
  <c r="G69" i="222"/>
  <c r="F69" i="222"/>
  <c r="E69" i="222"/>
  <c r="D69" i="222"/>
  <c r="O68" i="222"/>
  <c r="N68" i="222"/>
  <c r="M68" i="222"/>
  <c r="L68" i="222"/>
  <c r="K68" i="222"/>
  <c r="J68" i="222"/>
  <c r="I68" i="222"/>
  <c r="H68" i="222"/>
  <c r="G68" i="222"/>
  <c r="F68" i="222"/>
  <c r="E68" i="222"/>
  <c r="D68" i="222"/>
  <c r="O67" i="222"/>
  <c r="N67" i="222"/>
  <c r="M67" i="222"/>
  <c r="L67" i="222"/>
  <c r="K67" i="222"/>
  <c r="J67" i="222"/>
  <c r="I67" i="222"/>
  <c r="H67" i="222"/>
  <c r="G67" i="222"/>
  <c r="F67" i="222"/>
  <c r="E67" i="222"/>
  <c r="D67" i="222"/>
  <c r="O66" i="222"/>
  <c r="N66" i="222"/>
  <c r="M66" i="222"/>
  <c r="L66" i="222"/>
  <c r="K66" i="222"/>
  <c r="J66" i="222"/>
  <c r="I66" i="222"/>
  <c r="H66" i="222"/>
  <c r="G66" i="222"/>
  <c r="F66" i="222"/>
  <c r="E66" i="222"/>
  <c r="D66" i="222"/>
  <c r="O65" i="222"/>
  <c r="N65" i="222"/>
  <c r="M65" i="222"/>
  <c r="L65" i="222"/>
  <c r="K65" i="222"/>
  <c r="J65" i="222"/>
  <c r="I65" i="222"/>
  <c r="H65" i="222"/>
  <c r="G65" i="222"/>
  <c r="F65" i="222"/>
  <c r="E65" i="222"/>
  <c r="D65" i="222"/>
  <c r="O64" i="222"/>
  <c r="N64" i="222"/>
  <c r="M64" i="222"/>
  <c r="L64" i="222"/>
  <c r="K64" i="222"/>
  <c r="J64" i="222"/>
  <c r="I64" i="222"/>
  <c r="H64" i="222"/>
  <c r="G64" i="222"/>
  <c r="F64" i="222"/>
  <c r="E64" i="222"/>
  <c r="D64" i="222"/>
  <c r="O63" i="222"/>
  <c r="N63" i="222"/>
  <c r="M63" i="222"/>
  <c r="L63" i="222"/>
  <c r="K63" i="222"/>
  <c r="J63" i="222"/>
  <c r="I63" i="222"/>
  <c r="H63" i="222"/>
  <c r="G63" i="222"/>
  <c r="F63" i="222"/>
  <c r="E63" i="222"/>
  <c r="D63" i="222"/>
  <c r="O62" i="222"/>
  <c r="N62" i="222"/>
  <c r="M62" i="222"/>
  <c r="L62" i="222"/>
  <c r="K62" i="222"/>
  <c r="J62" i="222"/>
  <c r="I62" i="222"/>
  <c r="H62" i="222"/>
  <c r="G62" i="222"/>
  <c r="F62" i="222"/>
  <c r="E62" i="222"/>
  <c r="D62" i="222"/>
  <c r="O61" i="222"/>
  <c r="N61" i="222"/>
  <c r="M61" i="222"/>
  <c r="L61" i="222"/>
  <c r="K61" i="222"/>
  <c r="J61" i="222"/>
  <c r="I61" i="222"/>
  <c r="H61" i="222"/>
  <c r="G61" i="222"/>
  <c r="F61" i="222"/>
  <c r="E61" i="222"/>
  <c r="D61" i="222"/>
  <c r="O60" i="222"/>
  <c r="N60" i="222"/>
  <c r="M60" i="222"/>
  <c r="L60" i="222"/>
  <c r="K60" i="222"/>
  <c r="J60" i="222"/>
  <c r="I60" i="222"/>
  <c r="H60" i="222"/>
  <c r="G60" i="222"/>
  <c r="F60" i="222"/>
  <c r="E60" i="222"/>
  <c r="D60" i="222"/>
  <c r="O59" i="222"/>
  <c r="N59" i="222"/>
  <c r="M59" i="222"/>
  <c r="L59" i="222"/>
  <c r="K59" i="222"/>
  <c r="J59" i="222"/>
  <c r="I59" i="222"/>
  <c r="H59" i="222"/>
  <c r="G59" i="222"/>
  <c r="F59" i="222"/>
  <c r="E59" i="222"/>
  <c r="D59" i="222"/>
  <c r="O58" i="222"/>
  <c r="N58" i="222"/>
  <c r="M58" i="222"/>
  <c r="L58" i="222"/>
  <c r="K58" i="222"/>
  <c r="J58" i="222"/>
  <c r="I58" i="222"/>
  <c r="H58" i="222"/>
  <c r="G58" i="222"/>
  <c r="F58" i="222"/>
  <c r="E58" i="222"/>
  <c r="D58" i="222"/>
  <c r="O57" i="222"/>
  <c r="N57" i="222"/>
  <c r="M57" i="222"/>
  <c r="L57" i="222"/>
  <c r="K57" i="222"/>
  <c r="J57" i="222"/>
  <c r="I57" i="222"/>
  <c r="H57" i="222"/>
  <c r="G57" i="222"/>
  <c r="F57" i="222"/>
  <c r="E57" i="222"/>
  <c r="D57" i="222"/>
  <c r="O56" i="222"/>
  <c r="N56" i="222"/>
  <c r="M56" i="222"/>
  <c r="L56" i="222"/>
  <c r="K56" i="222"/>
  <c r="J56" i="222"/>
  <c r="I56" i="222"/>
  <c r="H56" i="222"/>
  <c r="G56" i="222"/>
  <c r="F56" i="222"/>
  <c r="E56" i="222"/>
  <c r="D56" i="222"/>
  <c r="O55" i="222"/>
  <c r="N55" i="222"/>
  <c r="M55" i="222"/>
  <c r="L55" i="222"/>
  <c r="K55" i="222"/>
  <c r="J55" i="222"/>
  <c r="I55" i="222"/>
  <c r="H55" i="222"/>
  <c r="G55" i="222"/>
  <c r="F55" i="222"/>
  <c r="E55" i="222"/>
  <c r="D55" i="222"/>
  <c r="O54" i="222"/>
  <c r="N54" i="222"/>
  <c r="M54" i="222"/>
  <c r="L54" i="222"/>
  <c r="K54" i="222"/>
  <c r="J54" i="222"/>
  <c r="I54" i="222"/>
  <c r="H54" i="222"/>
  <c r="G54" i="222"/>
  <c r="F54" i="222"/>
  <c r="E54" i="222"/>
  <c r="D54" i="222"/>
  <c r="O53" i="222"/>
  <c r="N53" i="222"/>
  <c r="M53" i="222"/>
  <c r="L53" i="222"/>
  <c r="K53" i="222"/>
  <c r="J53" i="222"/>
  <c r="I53" i="222"/>
  <c r="H53" i="222"/>
  <c r="G53" i="222"/>
  <c r="F53" i="222"/>
  <c r="E53" i="222"/>
  <c r="D53" i="222"/>
  <c r="O52" i="222"/>
  <c r="N52" i="222"/>
  <c r="M52" i="222"/>
  <c r="L52" i="222"/>
  <c r="K52" i="222"/>
  <c r="J52" i="222"/>
  <c r="I52" i="222"/>
  <c r="H52" i="222"/>
  <c r="G52" i="222"/>
  <c r="F52" i="222"/>
  <c r="E52" i="222"/>
  <c r="D52" i="222"/>
  <c r="O51" i="222"/>
  <c r="N51" i="222"/>
  <c r="M51" i="222"/>
  <c r="L51" i="222"/>
  <c r="K51" i="222"/>
  <c r="J51" i="222"/>
  <c r="I51" i="222"/>
  <c r="H51" i="222"/>
  <c r="G51" i="222"/>
  <c r="F51" i="222"/>
  <c r="E51" i="222"/>
  <c r="D51" i="222"/>
  <c r="O50" i="222"/>
  <c r="N50" i="222"/>
  <c r="M50" i="222"/>
  <c r="L50" i="222"/>
  <c r="K50" i="222"/>
  <c r="J50" i="222"/>
  <c r="I50" i="222"/>
  <c r="H50" i="222"/>
  <c r="G50" i="222"/>
  <c r="F50" i="222"/>
  <c r="E50" i="222"/>
  <c r="D50" i="222"/>
  <c r="O49" i="222"/>
  <c r="N49" i="222"/>
  <c r="M49" i="222"/>
  <c r="L49" i="222"/>
  <c r="K49" i="222"/>
  <c r="J49" i="222"/>
  <c r="I49" i="222"/>
  <c r="H49" i="222"/>
  <c r="G49" i="222"/>
  <c r="F49" i="222"/>
  <c r="E49" i="222"/>
  <c r="D49" i="222"/>
  <c r="O48" i="222"/>
  <c r="N48" i="222"/>
  <c r="M48" i="222"/>
  <c r="L48" i="222"/>
  <c r="K48" i="222"/>
  <c r="J48" i="222"/>
  <c r="I48" i="222"/>
  <c r="H48" i="222"/>
  <c r="G48" i="222"/>
  <c r="F48" i="222"/>
  <c r="E48" i="222"/>
  <c r="D48" i="222"/>
  <c r="O47" i="222"/>
  <c r="N47" i="222"/>
  <c r="M47" i="222"/>
  <c r="L47" i="222"/>
  <c r="K47" i="222"/>
  <c r="J47" i="222"/>
  <c r="I47" i="222"/>
  <c r="H47" i="222"/>
  <c r="G47" i="222"/>
  <c r="F47" i="222"/>
  <c r="E47" i="222"/>
  <c r="D47" i="222"/>
  <c r="O46" i="222"/>
  <c r="N46" i="222"/>
  <c r="M46" i="222"/>
  <c r="L46" i="222"/>
  <c r="K46" i="222"/>
  <c r="J46" i="222"/>
  <c r="I46" i="222"/>
  <c r="H46" i="222"/>
  <c r="G46" i="222"/>
  <c r="F46" i="222"/>
  <c r="E46" i="222"/>
  <c r="D46" i="222"/>
  <c r="O30" i="222"/>
  <c r="N30" i="222"/>
  <c r="M30" i="222"/>
  <c r="L30" i="222"/>
  <c r="K30" i="222"/>
  <c r="J30" i="222"/>
  <c r="I30" i="222"/>
  <c r="H30" i="222"/>
  <c r="G30" i="222"/>
  <c r="F30" i="222"/>
  <c r="E30" i="222"/>
  <c r="D30" i="222"/>
  <c r="O29" i="222"/>
  <c r="N29" i="222"/>
  <c r="M29" i="222"/>
  <c r="L29" i="222"/>
  <c r="K29" i="222"/>
  <c r="J29" i="222"/>
  <c r="I29" i="222"/>
  <c r="H29" i="222"/>
  <c r="G29" i="222"/>
  <c r="F29" i="222"/>
  <c r="E29" i="222"/>
  <c r="D29" i="222"/>
  <c r="O108" i="44"/>
  <c r="N108" i="44"/>
  <c r="M108" i="44"/>
  <c r="L108" i="44"/>
  <c r="K108" i="44"/>
  <c r="J108" i="44"/>
  <c r="O107" i="44"/>
  <c r="N107" i="44"/>
  <c r="M107" i="44"/>
  <c r="L107" i="44"/>
  <c r="K107" i="44"/>
  <c r="J107" i="44"/>
  <c r="O106" i="44"/>
  <c r="N106" i="44"/>
  <c r="M106" i="44"/>
  <c r="L106" i="44"/>
  <c r="K106" i="44"/>
  <c r="J106" i="44"/>
  <c r="O105" i="44"/>
  <c r="N105" i="44"/>
  <c r="M105" i="44"/>
  <c r="L105" i="44"/>
  <c r="K105" i="44"/>
  <c r="J105" i="44"/>
  <c r="O104" i="44"/>
  <c r="N104" i="44"/>
  <c r="M104" i="44"/>
  <c r="L104" i="44"/>
  <c r="K104" i="44"/>
  <c r="J104" i="44"/>
  <c r="O103" i="44"/>
  <c r="N103" i="44"/>
  <c r="M103" i="44"/>
  <c r="L103" i="44"/>
  <c r="K103" i="44"/>
  <c r="J103" i="44"/>
  <c r="O102" i="44"/>
  <c r="N102" i="44"/>
  <c r="M102" i="44"/>
  <c r="L102" i="44"/>
  <c r="K102" i="44"/>
  <c r="J102" i="44"/>
  <c r="O101" i="44"/>
  <c r="N101" i="44"/>
  <c r="M101" i="44"/>
  <c r="L101" i="44"/>
  <c r="K101" i="44"/>
  <c r="J101" i="44"/>
  <c r="O100" i="44"/>
  <c r="N100" i="44"/>
  <c r="M100" i="44"/>
  <c r="L100" i="44"/>
  <c r="K100" i="44"/>
  <c r="J100" i="44"/>
  <c r="O98" i="44"/>
  <c r="N98" i="44"/>
  <c r="M98" i="44"/>
  <c r="L98" i="44"/>
  <c r="K98" i="44"/>
  <c r="J98" i="44"/>
  <c r="O97" i="44"/>
  <c r="N97" i="44"/>
  <c r="M97" i="44"/>
  <c r="L97" i="44"/>
  <c r="K97" i="44"/>
  <c r="J97" i="44"/>
  <c r="O96" i="44"/>
  <c r="N96" i="44"/>
  <c r="M96" i="44"/>
  <c r="L96" i="44"/>
  <c r="K96" i="44"/>
  <c r="J96" i="44"/>
  <c r="O95" i="44"/>
  <c r="N95" i="44"/>
  <c r="M95" i="44"/>
  <c r="L95" i="44"/>
  <c r="K95" i="44"/>
  <c r="J95" i="44"/>
  <c r="O94" i="44"/>
  <c r="N94" i="44"/>
  <c r="M94" i="44"/>
  <c r="L94" i="44"/>
  <c r="K94" i="44"/>
  <c r="J94" i="44"/>
  <c r="O93" i="44"/>
  <c r="N93" i="44"/>
  <c r="M93" i="44"/>
  <c r="L93" i="44"/>
  <c r="K93" i="44"/>
  <c r="J93" i="44"/>
  <c r="O92" i="44"/>
  <c r="N92" i="44"/>
  <c r="M92" i="44"/>
  <c r="L92" i="44"/>
  <c r="K92" i="44"/>
  <c r="J92" i="44"/>
  <c r="O91" i="44"/>
  <c r="N91" i="44"/>
  <c r="M91" i="44"/>
  <c r="L91" i="44"/>
  <c r="K91" i="44"/>
  <c r="J91" i="44"/>
  <c r="O90" i="44"/>
  <c r="N90" i="44"/>
  <c r="M90" i="44"/>
  <c r="L90" i="44"/>
  <c r="K90" i="44"/>
  <c r="J90" i="44"/>
  <c r="O89" i="44"/>
  <c r="N89" i="44"/>
  <c r="M89" i="44"/>
  <c r="L89" i="44"/>
  <c r="K89" i="44"/>
  <c r="J89" i="44"/>
  <c r="O88" i="44"/>
  <c r="N88" i="44"/>
  <c r="M88" i="44"/>
  <c r="L88" i="44"/>
  <c r="K88" i="44"/>
  <c r="J88" i="44"/>
  <c r="O87" i="44"/>
  <c r="N87" i="44"/>
  <c r="M87" i="44"/>
  <c r="L87" i="44"/>
  <c r="K87" i="44"/>
  <c r="J87" i="44"/>
  <c r="O86" i="44"/>
  <c r="N86" i="44"/>
  <c r="M86" i="44"/>
  <c r="L86" i="44"/>
  <c r="K86" i="44"/>
  <c r="J86" i="44"/>
  <c r="O85" i="44"/>
  <c r="N85" i="44"/>
  <c r="M85" i="44"/>
  <c r="L85" i="44"/>
  <c r="K85" i="44"/>
  <c r="J85" i="44"/>
  <c r="O84" i="44"/>
  <c r="N84" i="44"/>
  <c r="M84" i="44"/>
  <c r="L84" i="44"/>
  <c r="K84" i="44"/>
  <c r="J84" i="44"/>
  <c r="O83" i="44"/>
  <c r="N83" i="44"/>
  <c r="M83" i="44"/>
  <c r="L83" i="44"/>
  <c r="K83" i="44"/>
  <c r="J83" i="44"/>
  <c r="O82" i="44"/>
  <c r="N82" i="44"/>
  <c r="M82" i="44"/>
  <c r="L82" i="44"/>
  <c r="K82" i="44"/>
  <c r="J82" i="44"/>
  <c r="O81" i="44"/>
  <c r="N81" i="44"/>
  <c r="M81" i="44"/>
  <c r="L81" i="44"/>
  <c r="K81" i="44"/>
  <c r="J81" i="44"/>
  <c r="O80" i="44"/>
  <c r="N80" i="44"/>
  <c r="M80" i="44"/>
  <c r="L80" i="44"/>
  <c r="K80" i="44"/>
  <c r="J80" i="44"/>
  <c r="O79" i="44"/>
  <c r="N79" i="44"/>
  <c r="M79" i="44"/>
  <c r="L79" i="44"/>
  <c r="K79" i="44"/>
  <c r="J79" i="44"/>
  <c r="O78" i="44"/>
  <c r="N78" i="44"/>
  <c r="M78" i="44"/>
  <c r="L78" i="44"/>
  <c r="K78" i="44"/>
  <c r="J78" i="44"/>
  <c r="O77" i="44"/>
  <c r="N77" i="44"/>
  <c r="M77" i="44"/>
  <c r="L77" i="44"/>
  <c r="K77" i="44"/>
  <c r="J77" i="44"/>
  <c r="O76" i="44"/>
  <c r="N76" i="44"/>
  <c r="M76" i="44"/>
  <c r="L76" i="44"/>
  <c r="K76" i="44"/>
  <c r="J76" i="44"/>
  <c r="O75" i="44"/>
  <c r="N75" i="44"/>
  <c r="M75" i="44"/>
  <c r="L75" i="44"/>
  <c r="K75" i="44"/>
  <c r="J75" i="44"/>
  <c r="O74" i="44"/>
  <c r="N74" i="44"/>
  <c r="M74" i="44"/>
  <c r="L74" i="44"/>
  <c r="K74" i="44"/>
  <c r="J74" i="44"/>
  <c r="O73" i="44"/>
  <c r="N73" i="44"/>
  <c r="M73" i="44"/>
  <c r="L73" i="44"/>
  <c r="K73" i="44"/>
  <c r="J73" i="44"/>
  <c r="O72" i="44"/>
  <c r="N72" i="44"/>
  <c r="M72" i="44"/>
  <c r="L72" i="44"/>
  <c r="K72" i="44"/>
  <c r="J72" i="44"/>
  <c r="O71" i="44"/>
  <c r="N71" i="44"/>
  <c r="M71" i="44"/>
  <c r="L71" i="44"/>
  <c r="K71" i="44"/>
  <c r="J71" i="44"/>
  <c r="O70" i="44"/>
  <c r="N70" i="44"/>
  <c r="M70" i="44"/>
  <c r="L70" i="44"/>
  <c r="K70" i="44"/>
  <c r="J70" i="44"/>
  <c r="O69" i="44"/>
  <c r="N69" i="44"/>
  <c r="M69" i="44"/>
  <c r="L69" i="44"/>
  <c r="K69" i="44"/>
  <c r="J69" i="44"/>
  <c r="O68" i="44"/>
  <c r="N68" i="44"/>
  <c r="M68" i="44"/>
  <c r="L68" i="44"/>
  <c r="K68" i="44"/>
  <c r="J68" i="44"/>
  <c r="O67" i="44"/>
  <c r="N67" i="44"/>
  <c r="M67" i="44"/>
  <c r="L67" i="44"/>
  <c r="K67" i="44"/>
  <c r="J67" i="44"/>
  <c r="O66" i="44"/>
  <c r="N66" i="44"/>
  <c r="M66" i="44"/>
  <c r="L66" i="44"/>
  <c r="K66" i="44"/>
  <c r="J66" i="44"/>
  <c r="O65" i="44"/>
  <c r="N65" i="44"/>
  <c r="M65" i="44"/>
  <c r="L65" i="44"/>
  <c r="K65" i="44"/>
  <c r="J65" i="44"/>
  <c r="O64" i="44"/>
  <c r="N64" i="44"/>
  <c r="M64" i="44"/>
  <c r="L64" i="44"/>
  <c r="K64" i="44"/>
  <c r="J64" i="44"/>
  <c r="O63" i="44"/>
  <c r="N63" i="44"/>
  <c r="M63" i="44"/>
  <c r="L63" i="44"/>
  <c r="K63" i="44"/>
  <c r="J63" i="44"/>
  <c r="O62" i="44"/>
  <c r="N62" i="44"/>
  <c r="M62" i="44"/>
  <c r="L62" i="44"/>
  <c r="K62" i="44"/>
  <c r="J62" i="44"/>
  <c r="O61" i="44"/>
  <c r="N61" i="44"/>
  <c r="M61" i="44"/>
  <c r="L61" i="44"/>
  <c r="K61" i="44"/>
  <c r="J61" i="44"/>
  <c r="O60" i="44"/>
  <c r="N60" i="44"/>
  <c r="M60" i="44"/>
  <c r="L60" i="44"/>
  <c r="K60" i="44"/>
  <c r="J60" i="44"/>
  <c r="O59" i="44"/>
  <c r="N59" i="44"/>
  <c r="M59" i="44"/>
  <c r="L59" i="44"/>
  <c r="K59" i="44"/>
  <c r="J59" i="44"/>
  <c r="O58" i="44"/>
  <c r="N58" i="44"/>
  <c r="M58" i="44"/>
  <c r="L58" i="44"/>
  <c r="K58" i="44"/>
  <c r="J58" i="44"/>
  <c r="O57" i="44"/>
  <c r="N57" i="44"/>
  <c r="M57" i="44"/>
  <c r="L57" i="44"/>
  <c r="K57" i="44"/>
  <c r="J57" i="44"/>
  <c r="O56" i="44"/>
  <c r="N56" i="44"/>
  <c r="M56" i="44"/>
  <c r="L56" i="44"/>
  <c r="K56" i="44"/>
  <c r="J56" i="44"/>
  <c r="O55" i="44"/>
  <c r="N55" i="44"/>
  <c r="M55" i="44"/>
  <c r="L55" i="44"/>
  <c r="K55" i="44"/>
  <c r="J55" i="44"/>
  <c r="O54" i="44"/>
  <c r="N54" i="44"/>
  <c r="M54" i="44"/>
  <c r="L54" i="44"/>
  <c r="K54" i="44"/>
  <c r="J54" i="44"/>
  <c r="O53" i="44"/>
  <c r="N53" i="44"/>
  <c r="M53" i="44"/>
  <c r="L53" i="44"/>
  <c r="K53" i="44"/>
  <c r="J53" i="44"/>
  <c r="O52" i="44"/>
  <c r="N52" i="44"/>
  <c r="M52" i="44"/>
  <c r="L52" i="44"/>
  <c r="K52" i="44"/>
  <c r="J52" i="44"/>
  <c r="O51" i="44"/>
  <c r="N51" i="44"/>
  <c r="M51" i="44"/>
  <c r="L51" i="44"/>
  <c r="K51" i="44"/>
  <c r="J51" i="44"/>
  <c r="O50" i="44"/>
  <c r="N50" i="44"/>
  <c r="M50" i="44"/>
  <c r="L50" i="44"/>
  <c r="K50" i="44"/>
  <c r="J50" i="44"/>
  <c r="O49" i="44"/>
  <c r="N49" i="44"/>
  <c r="M49" i="44"/>
  <c r="L49" i="44"/>
  <c r="K49" i="44"/>
  <c r="J49" i="44"/>
  <c r="O48" i="44"/>
  <c r="N48" i="44"/>
  <c r="M48" i="44"/>
  <c r="L48" i="44"/>
  <c r="K48" i="44"/>
  <c r="J48" i="44"/>
  <c r="O47" i="44"/>
  <c r="N47" i="44"/>
  <c r="M47" i="44"/>
  <c r="L47" i="44"/>
  <c r="K47" i="44"/>
  <c r="J47" i="44"/>
  <c r="O46" i="44"/>
  <c r="N46" i="44"/>
  <c r="M46" i="44"/>
  <c r="L46" i="44"/>
  <c r="K46" i="44"/>
  <c r="J46" i="44"/>
  <c r="O30" i="44"/>
  <c r="N30" i="44"/>
  <c r="M30" i="44"/>
  <c r="L30" i="44"/>
  <c r="K30" i="44"/>
  <c r="J30" i="44"/>
  <c r="O29" i="44"/>
  <c r="N29" i="44"/>
  <c r="M29" i="44"/>
  <c r="L29" i="44"/>
  <c r="K29" i="44"/>
  <c r="J29" i="44"/>
  <c r="O14" i="44"/>
  <c r="N14" i="44"/>
  <c r="M14" i="44"/>
  <c r="L14" i="44"/>
  <c r="K14" i="44"/>
  <c r="J14" i="44"/>
  <c r="I48" i="192"/>
  <c r="H48" i="192"/>
  <c r="G48" i="192"/>
  <c r="F48" i="192"/>
  <c r="E48" i="192"/>
  <c r="D48" i="192"/>
  <c r="I47" i="192"/>
  <c r="H47" i="192"/>
  <c r="G47" i="192"/>
  <c r="F47" i="192"/>
  <c r="E47" i="192"/>
  <c r="D47" i="192"/>
  <c r="I46" i="192"/>
  <c r="H46" i="192"/>
  <c r="G46" i="192"/>
  <c r="F46" i="192"/>
  <c r="E46" i="192"/>
  <c r="D46" i="192"/>
  <c r="I45" i="192"/>
  <c r="H45" i="192"/>
  <c r="G45" i="192"/>
  <c r="F45" i="192"/>
  <c r="E45" i="192"/>
  <c r="D45" i="192"/>
  <c r="I44" i="192"/>
  <c r="H44" i="192"/>
  <c r="G44" i="192"/>
  <c r="F44" i="192"/>
  <c r="E44" i="192"/>
  <c r="D44" i="192"/>
  <c r="I43" i="192"/>
  <c r="H43" i="192"/>
  <c r="G43" i="192"/>
  <c r="F43" i="192"/>
  <c r="E43" i="192"/>
  <c r="D43" i="192"/>
  <c r="I42" i="192"/>
  <c r="H42" i="192"/>
  <c r="G42" i="192"/>
  <c r="F42" i="192"/>
  <c r="E42" i="192"/>
  <c r="D42" i="192"/>
  <c r="I41" i="192"/>
  <c r="H41" i="192"/>
  <c r="G41" i="192"/>
  <c r="F41" i="192"/>
  <c r="E41" i="192"/>
  <c r="D41" i="192"/>
  <c r="I40" i="192"/>
  <c r="H40" i="192"/>
  <c r="G40" i="192"/>
  <c r="F40" i="192"/>
  <c r="E40" i="192"/>
  <c r="D40" i="192"/>
  <c r="I39" i="192"/>
  <c r="H39" i="192"/>
  <c r="G39" i="192"/>
  <c r="F39" i="192"/>
  <c r="E39" i="192"/>
  <c r="D39" i="192"/>
  <c r="I38" i="192"/>
  <c r="H38" i="192"/>
  <c r="G38" i="192"/>
  <c r="F38" i="192"/>
  <c r="E38" i="192"/>
  <c r="D38" i="192"/>
  <c r="I37" i="192"/>
  <c r="H37" i="192"/>
  <c r="G37" i="192"/>
  <c r="F37" i="192"/>
  <c r="E37" i="192"/>
  <c r="D37" i="192"/>
  <c r="I36" i="192"/>
  <c r="H36" i="192"/>
  <c r="G36" i="192"/>
  <c r="F36" i="192"/>
  <c r="E36" i="192"/>
  <c r="D36" i="192"/>
  <c r="I35" i="192"/>
  <c r="H35" i="192"/>
  <c r="G35" i="192"/>
  <c r="F35" i="192"/>
  <c r="E35" i="192"/>
  <c r="D35" i="192"/>
  <c r="I34" i="192"/>
  <c r="H34" i="192"/>
  <c r="G34" i="192"/>
  <c r="F34" i="192"/>
  <c r="E34" i="192"/>
  <c r="D34" i="192"/>
  <c r="I33" i="192"/>
  <c r="H33" i="192"/>
  <c r="G33" i="192"/>
  <c r="F33" i="192"/>
  <c r="E33" i="192"/>
  <c r="D33" i="192"/>
  <c r="I32" i="192"/>
  <c r="H32" i="192"/>
  <c r="G32" i="192"/>
  <c r="F32" i="192"/>
  <c r="E32" i="192"/>
  <c r="D32" i="192"/>
  <c r="I31" i="192"/>
  <c r="H31" i="192"/>
  <c r="G31" i="192"/>
  <c r="F31" i="192"/>
  <c r="E31" i="192"/>
  <c r="D31" i="192"/>
  <c r="I30" i="192"/>
  <c r="H30" i="192"/>
  <c r="G30" i="192"/>
  <c r="F30" i="192"/>
  <c r="E30" i="192"/>
  <c r="D30" i="192"/>
  <c r="I29" i="192"/>
  <c r="H29" i="192"/>
  <c r="G29" i="192"/>
  <c r="F29" i="192"/>
  <c r="E29" i="192"/>
  <c r="D29" i="192"/>
  <c r="I28" i="192"/>
  <c r="H28" i="192"/>
  <c r="G28" i="192"/>
  <c r="F28" i="192"/>
  <c r="E28" i="192"/>
  <c r="D28" i="192"/>
  <c r="I27" i="192"/>
  <c r="H27" i="192"/>
  <c r="G27" i="192"/>
  <c r="F27" i="192"/>
  <c r="E27" i="192"/>
  <c r="D27" i="192"/>
  <c r="I26" i="192"/>
  <c r="H26" i="192"/>
  <c r="G26" i="192"/>
  <c r="F26" i="192"/>
  <c r="E26" i="192"/>
  <c r="D26" i="192"/>
  <c r="I25" i="192"/>
  <c r="H25" i="192"/>
  <c r="G25" i="192"/>
  <c r="F25" i="192"/>
  <c r="E25" i="192"/>
  <c r="D25" i="192"/>
  <c r="I24" i="192"/>
  <c r="H24" i="192"/>
  <c r="G24" i="192"/>
  <c r="F24" i="192"/>
  <c r="E24" i="192"/>
  <c r="D24" i="192"/>
  <c r="I23" i="192"/>
  <c r="H23" i="192"/>
  <c r="G23" i="192"/>
  <c r="F23" i="192"/>
  <c r="E23" i="192"/>
  <c r="D23" i="192"/>
  <c r="I22" i="192"/>
  <c r="H22" i="192"/>
  <c r="G22" i="192"/>
  <c r="F22" i="192"/>
  <c r="E22" i="192"/>
  <c r="D22" i="192"/>
  <c r="I21" i="192"/>
  <c r="H21" i="192"/>
  <c r="G21" i="192"/>
  <c r="F21" i="192"/>
  <c r="E21" i="192"/>
  <c r="D21" i="192"/>
  <c r="I20" i="192"/>
  <c r="H20" i="192"/>
  <c r="G20" i="192"/>
  <c r="F20" i="192"/>
  <c r="E20" i="192"/>
  <c r="D20" i="192"/>
  <c r="I19" i="192"/>
  <c r="H19" i="192"/>
  <c r="G19" i="192"/>
  <c r="F19" i="192"/>
  <c r="E19" i="192"/>
  <c r="D19" i="192"/>
  <c r="I18" i="192"/>
  <c r="H18" i="192"/>
  <c r="G18" i="192"/>
  <c r="F18" i="192"/>
  <c r="E18" i="192"/>
  <c r="D18" i="192"/>
  <c r="I17" i="192"/>
  <c r="H17" i="192"/>
  <c r="G17" i="192"/>
  <c r="F17" i="192"/>
  <c r="E17" i="192"/>
  <c r="D17" i="192"/>
  <c r="I16" i="192"/>
  <c r="H16" i="192"/>
  <c r="G16" i="192"/>
  <c r="F16" i="192"/>
  <c r="E16" i="192"/>
  <c r="D16" i="192"/>
  <c r="I15" i="192"/>
  <c r="H15" i="192"/>
  <c r="G15" i="192"/>
  <c r="F15" i="192"/>
  <c r="E15" i="192"/>
  <c r="D15" i="192"/>
  <c r="I14" i="192"/>
  <c r="H14" i="192"/>
  <c r="G14" i="192"/>
  <c r="F14" i="192"/>
  <c r="E14" i="192"/>
  <c r="D14" i="192"/>
  <c r="I12" i="192"/>
  <c r="H12" i="192"/>
  <c r="G12" i="192"/>
  <c r="F12" i="192"/>
  <c r="E12" i="192"/>
  <c r="D12" i="192"/>
  <c r="I28" i="193"/>
  <c r="H28" i="193"/>
  <c r="G28" i="193"/>
  <c r="F28" i="193"/>
  <c r="E28" i="193"/>
  <c r="D28" i="193"/>
  <c r="I27" i="193"/>
  <c r="H27" i="193"/>
  <c r="G27" i="193"/>
  <c r="F27" i="193"/>
  <c r="E27" i="193"/>
  <c r="D27" i="193"/>
  <c r="I26" i="193"/>
  <c r="H26" i="193"/>
  <c r="G26" i="193"/>
  <c r="F26" i="193"/>
  <c r="E26" i="193"/>
  <c r="D26" i="193"/>
  <c r="I25" i="193"/>
  <c r="H25" i="193"/>
  <c r="G25" i="193"/>
  <c r="F25" i="193"/>
  <c r="E25" i="193"/>
  <c r="D25" i="193"/>
  <c r="I24" i="193"/>
  <c r="H24" i="193"/>
  <c r="G24" i="193"/>
  <c r="F24" i="193"/>
  <c r="E24" i="193"/>
  <c r="D24" i="193"/>
  <c r="I23" i="193"/>
  <c r="H23" i="193"/>
  <c r="G23" i="193"/>
  <c r="F23" i="193"/>
  <c r="E23" i="193"/>
  <c r="D23" i="193"/>
  <c r="I22" i="193"/>
  <c r="H22" i="193"/>
  <c r="G22" i="193"/>
  <c r="F22" i="193"/>
  <c r="E22" i="193"/>
  <c r="D22" i="193"/>
  <c r="I21" i="193"/>
  <c r="H21" i="193"/>
  <c r="G21" i="193"/>
  <c r="F21" i="193"/>
  <c r="E21" i="193"/>
  <c r="D21" i="193"/>
  <c r="I20" i="193"/>
  <c r="H20" i="193"/>
  <c r="G20" i="193"/>
  <c r="F20" i="193"/>
  <c r="E20" i="193"/>
  <c r="D20" i="193"/>
  <c r="I19" i="193"/>
  <c r="H19" i="193"/>
  <c r="G19" i="193"/>
  <c r="F19" i="193"/>
  <c r="E19" i="193"/>
  <c r="D19" i="193"/>
  <c r="I18" i="193"/>
  <c r="H18" i="193"/>
  <c r="G18" i="193"/>
  <c r="F18" i="193"/>
  <c r="E18" i="193"/>
  <c r="D18" i="193"/>
  <c r="I17" i="193"/>
  <c r="H17" i="193"/>
  <c r="G17" i="193"/>
  <c r="F17" i="193"/>
  <c r="E17" i="193"/>
  <c r="D17" i="193"/>
  <c r="I16" i="193"/>
  <c r="H16" i="193"/>
  <c r="G16" i="193"/>
  <c r="F16" i="193"/>
  <c r="E16" i="193"/>
  <c r="D16" i="193"/>
  <c r="I15" i="193"/>
  <c r="H15" i="193"/>
  <c r="G15" i="193"/>
  <c r="F15" i="193"/>
  <c r="E15" i="193"/>
  <c r="D15" i="193"/>
  <c r="I14" i="193"/>
  <c r="H14" i="193"/>
  <c r="G14" i="193"/>
  <c r="F14" i="193"/>
  <c r="E14" i="193"/>
  <c r="D14" i="193"/>
  <c r="I13" i="193"/>
  <c r="H13" i="193"/>
  <c r="G13" i="193"/>
  <c r="F13" i="193"/>
  <c r="E13" i="193"/>
  <c r="D13" i="193"/>
  <c r="I12" i="193"/>
  <c r="H12" i="193"/>
  <c r="G12" i="193"/>
  <c r="F12" i="193"/>
  <c r="E12" i="193"/>
  <c r="D12" i="193"/>
  <c r="I35" i="190"/>
  <c r="H35" i="190"/>
  <c r="G35" i="190"/>
  <c r="F35" i="190"/>
  <c r="E35" i="190"/>
  <c r="D35" i="190"/>
  <c r="I34" i="190"/>
  <c r="H34" i="190"/>
  <c r="G34" i="190"/>
  <c r="F34" i="190"/>
  <c r="E34" i="190"/>
  <c r="D34" i="190"/>
  <c r="I33" i="190"/>
  <c r="H33" i="190"/>
  <c r="G33" i="190"/>
  <c r="F33" i="190"/>
  <c r="E33" i="190"/>
  <c r="D33" i="190"/>
  <c r="I32" i="190"/>
  <c r="H32" i="190"/>
  <c r="G32" i="190"/>
  <c r="F32" i="190"/>
  <c r="E32" i="190"/>
  <c r="D32" i="190"/>
  <c r="I31" i="190"/>
  <c r="H31" i="190"/>
  <c r="G31" i="190"/>
  <c r="F31" i="190"/>
  <c r="E31" i="190"/>
  <c r="D31" i="190"/>
  <c r="I30" i="190"/>
  <c r="H30" i="190"/>
  <c r="G30" i="190"/>
  <c r="F30" i="190"/>
  <c r="E30" i="190"/>
  <c r="D30" i="190"/>
  <c r="I29" i="190"/>
  <c r="H29" i="190"/>
  <c r="G29" i="190"/>
  <c r="F29" i="190"/>
  <c r="E29" i="190"/>
  <c r="D29" i="190"/>
  <c r="I28" i="190"/>
  <c r="H28" i="190"/>
  <c r="G28" i="190"/>
  <c r="F28" i="190"/>
  <c r="E28" i="190"/>
  <c r="D28" i="190"/>
  <c r="I27" i="190"/>
  <c r="H27" i="190"/>
  <c r="G27" i="190"/>
  <c r="F27" i="190"/>
  <c r="E27" i="190"/>
  <c r="D27" i="190"/>
  <c r="I26" i="190"/>
  <c r="H26" i="190"/>
  <c r="G26" i="190"/>
  <c r="F26" i="190"/>
  <c r="E26" i="190"/>
  <c r="D26" i="190"/>
  <c r="I25" i="190"/>
  <c r="H25" i="190"/>
  <c r="G25" i="190"/>
  <c r="F25" i="190"/>
  <c r="E25" i="190"/>
  <c r="D25" i="190"/>
  <c r="I24" i="190"/>
  <c r="H24" i="190"/>
  <c r="G24" i="190"/>
  <c r="F24" i="190"/>
  <c r="E24" i="190"/>
  <c r="D24" i="190"/>
  <c r="I23" i="190"/>
  <c r="H23" i="190"/>
  <c r="G23" i="190"/>
  <c r="F23" i="190"/>
  <c r="E23" i="190"/>
  <c r="D23" i="190"/>
  <c r="I22" i="190"/>
  <c r="H22" i="190"/>
  <c r="G22" i="190"/>
  <c r="F22" i="190"/>
  <c r="E22" i="190"/>
  <c r="D22" i="190"/>
  <c r="I21" i="190"/>
  <c r="H21" i="190"/>
  <c r="G21" i="190"/>
  <c r="F21" i="190"/>
  <c r="E21" i="190"/>
  <c r="D21" i="190"/>
  <c r="I20" i="190"/>
  <c r="H20" i="190"/>
  <c r="G20" i="190"/>
  <c r="F20" i="190"/>
  <c r="E20" i="190"/>
  <c r="D20" i="190"/>
  <c r="I19" i="190"/>
  <c r="H19" i="190"/>
  <c r="G19" i="190"/>
  <c r="F19" i="190"/>
  <c r="E19" i="190"/>
  <c r="D19" i="190"/>
  <c r="I18" i="190"/>
  <c r="H18" i="190"/>
  <c r="G18" i="190"/>
  <c r="F18" i="190"/>
  <c r="E18" i="190"/>
  <c r="D18" i="190"/>
  <c r="I17" i="190"/>
  <c r="H17" i="190"/>
  <c r="G17" i="190"/>
  <c r="F17" i="190"/>
  <c r="E17" i="190"/>
  <c r="D17" i="190"/>
  <c r="I16" i="190"/>
  <c r="H16" i="190"/>
  <c r="G16" i="190"/>
  <c r="F16" i="190"/>
  <c r="E16" i="190"/>
  <c r="D16" i="190"/>
  <c r="I15" i="190"/>
  <c r="H15" i="190"/>
  <c r="G15" i="190"/>
  <c r="F15" i="190"/>
  <c r="E15" i="190"/>
  <c r="D15" i="190"/>
  <c r="I14" i="190"/>
  <c r="H14" i="190"/>
  <c r="G14" i="190"/>
  <c r="F14" i="190"/>
  <c r="E14" i="190"/>
  <c r="D14" i="190"/>
  <c r="I12" i="190"/>
  <c r="H12" i="190"/>
  <c r="G12" i="190"/>
  <c r="F12" i="190"/>
  <c r="E12" i="190"/>
  <c r="D12" i="190"/>
  <c r="I108" i="44"/>
  <c r="H108" i="44"/>
  <c r="G108" i="44"/>
  <c r="F108" i="44"/>
  <c r="E108" i="44"/>
  <c r="D108" i="44"/>
  <c r="I107" i="44"/>
  <c r="H107" i="44"/>
  <c r="G107" i="44"/>
  <c r="F107" i="44"/>
  <c r="E107" i="44"/>
  <c r="D107" i="44"/>
  <c r="I106" i="44"/>
  <c r="H106" i="44"/>
  <c r="G106" i="44"/>
  <c r="F106" i="44"/>
  <c r="E106" i="44"/>
  <c r="D106" i="44"/>
  <c r="I105" i="44"/>
  <c r="H105" i="44"/>
  <c r="G105" i="44"/>
  <c r="F105" i="44"/>
  <c r="E105" i="44"/>
  <c r="D105" i="44"/>
  <c r="I104" i="44"/>
  <c r="H104" i="44"/>
  <c r="G104" i="44"/>
  <c r="F104" i="44"/>
  <c r="E104" i="44"/>
  <c r="D104" i="44"/>
  <c r="I103" i="44"/>
  <c r="H103" i="44"/>
  <c r="G103" i="44"/>
  <c r="F103" i="44"/>
  <c r="E103" i="44"/>
  <c r="D103" i="44"/>
  <c r="I102" i="44"/>
  <c r="H102" i="44"/>
  <c r="G102" i="44"/>
  <c r="F102" i="44"/>
  <c r="E102" i="44"/>
  <c r="D102" i="44"/>
  <c r="I101" i="44"/>
  <c r="H101" i="44"/>
  <c r="G101" i="44"/>
  <c r="F101" i="44"/>
  <c r="E101" i="44"/>
  <c r="D101" i="44"/>
  <c r="I100" i="44"/>
  <c r="H100" i="44"/>
  <c r="G100" i="44"/>
  <c r="F100" i="44"/>
  <c r="E100" i="44"/>
  <c r="D100" i="44"/>
  <c r="I99" i="44"/>
  <c r="H99" i="44"/>
  <c r="G99" i="44"/>
  <c r="F99" i="44"/>
  <c r="E99" i="44"/>
  <c r="D99" i="44"/>
  <c r="I98" i="44"/>
  <c r="H98" i="44"/>
  <c r="G98" i="44"/>
  <c r="F98" i="44"/>
  <c r="E98" i="44"/>
  <c r="D98" i="44"/>
  <c r="I97" i="44"/>
  <c r="H97" i="44"/>
  <c r="G97" i="44"/>
  <c r="F97" i="44"/>
  <c r="E97" i="44"/>
  <c r="D97" i="44"/>
  <c r="I96" i="44"/>
  <c r="H96" i="44"/>
  <c r="G96" i="44"/>
  <c r="F96" i="44"/>
  <c r="E96" i="44"/>
  <c r="D96" i="44"/>
  <c r="I95" i="44"/>
  <c r="H95" i="44"/>
  <c r="G95" i="44"/>
  <c r="F95" i="44"/>
  <c r="E95" i="44"/>
  <c r="D95" i="44"/>
  <c r="I94" i="44"/>
  <c r="H94" i="44"/>
  <c r="G94" i="44"/>
  <c r="F94" i="44"/>
  <c r="E94" i="44"/>
  <c r="D94" i="44"/>
  <c r="I93" i="44"/>
  <c r="H93" i="44"/>
  <c r="G93" i="44"/>
  <c r="F93" i="44"/>
  <c r="E93" i="44"/>
  <c r="D93" i="44"/>
  <c r="I92" i="44"/>
  <c r="H92" i="44"/>
  <c r="G92" i="44"/>
  <c r="F92" i="44"/>
  <c r="E92" i="44"/>
  <c r="D92" i="44"/>
  <c r="I91" i="44"/>
  <c r="H91" i="44"/>
  <c r="G91" i="44"/>
  <c r="F91" i="44"/>
  <c r="E91" i="44"/>
  <c r="D91" i="44"/>
  <c r="I90" i="44"/>
  <c r="H90" i="44"/>
  <c r="G90" i="44"/>
  <c r="F90" i="44"/>
  <c r="E90" i="44"/>
  <c r="D90" i="44"/>
  <c r="I89" i="44"/>
  <c r="H89" i="44"/>
  <c r="G89" i="44"/>
  <c r="F89" i="44"/>
  <c r="E89" i="44"/>
  <c r="D89" i="44"/>
  <c r="I88" i="44"/>
  <c r="H88" i="44"/>
  <c r="G88" i="44"/>
  <c r="F88" i="44"/>
  <c r="E88" i="44"/>
  <c r="D88" i="44"/>
  <c r="I87" i="44"/>
  <c r="H87" i="44"/>
  <c r="G87" i="44"/>
  <c r="F87" i="44"/>
  <c r="E87" i="44"/>
  <c r="D87" i="44"/>
  <c r="I86" i="44"/>
  <c r="H86" i="44"/>
  <c r="G86" i="44"/>
  <c r="F86" i="44"/>
  <c r="E86" i="44"/>
  <c r="D86" i="44"/>
  <c r="I85" i="44"/>
  <c r="H85" i="44"/>
  <c r="G85" i="44"/>
  <c r="F85" i="44"/>
  <c r="E85" i="44"/>
  <c r="D85" i="44"/>
  <c r="I84" i="44"/>
  <c r="H84" i="44"/>
  <c r="G84" i="44"/>
  <c r="F84" i="44"/>
  <c r="E84" i="44"/>
  <c r="D84" i="44"/>
  <c r="I83" i="44"/>
  <c r="H83" i="44"/>
  <c r="G83" i="44"/>
  <c r="F83" i="44"/>
  <c r="E83" i="44"/>
  <c r="D83" i="44"/>
  <c r="I82" i="44"/>
  <c r="H82" i="44"/>
  <c r="G82" i="44"/>
  <c r="F82" i="44"/>
  <c r="E82" i="44"/>
  <c r="D82" i="44"/>
  <c r="I81" i="44"/>
  <c r="H81" i="44"/>
  <c r="G81" i="44"/>
  <c r="F81" i="44"/>
  <c r="E81" i="44"/>
  <c r="D81" i="44"/>
  <c r="I80" i="44"/>
  <c r="H80" i="44"/>
  <c r="G80" i="44"/>
  <c r="F80" i="44"/>
  <c r="E80" i="44"/>
  <c r="D80" i="44"/>
  <c r="I79" i="44"/>
  <c r="H79" i="44"/>
  <c r="G79" i="44"/>
  <c r="F79" i="44"/>
  <c r="E79" i="44"/>
  <c r="D79" i="44"/>
  <c r="I78" i="44"/>
  <c r="H78" i="44"/>
  <c r="G78" i="44"/>
  <c r="F78" i="44"/>
  <c r="E78" i="44"/>
  <c r="D78" i="44"/>
  <c r="I77" i="44"/>
  <c r="H77" i="44"/>
  <c r="G77" i="44"/>
  <c r="F77" i="44"/>
  <c r="E77" i="44"/>
  <c r="D77" i="44"/>
  <c r="I76" i="44"/>
  <c r="H76" i="44"/>
  <c r="G76" i="44"/>
  <c r="F76" i="44"/>
  <c r="E76" i="44"/>
  <c r="D76" i="44"/>
  <c r="I75" i="44"/>
  <c r="H75" i="44"/>
  <c r="G75" i="44"/>
  <c r="F75" i="44"/>
  <c r="E75" i="44"/>
  <c r="D75" i="44"/>
  <c r="I74" i="44"/>
  <c r="H74" i="44"/>
  <c r="G74" i="44"/>
  <c r="F74" i="44"/>
  <c r="E74" i="44"/>
  <c r="D74" i="44"/>
  <c r="I73" i="44"/>
  <c r="H73" i="44"/>
  <c r="G73" i="44"/>
  <c r="F73" i="44"/>
  <c r="E73" i="44"/>
  <c r="D73" i="44"/>
  <c r="I72" i="44"/>
  <c r="H72" i="44"/>
  <c r="G72" i="44"/>
  <c r="F72" i="44"/>
  <c r="E72" i="44"/>
  <c r="D72" i="44"/>
  <c r="I70" i="44"/>
  <c r="H70" i="44"/>
  <c r="G70" i="44"/>
  <c r="F70" i="44"/>
  <c r="E70" i="44"/>
  <c r="D70" i="44"/>
  <c r="I69" i="44"/>
  <c r="H69" i="44"/>
  <c r="G69" i="44"/>
  <c r="F69" i="44"/>
  <c r="E69" i="44"/>
  <c r="D69" i="44"/>
  <c r="I68" i="44"/>
  <c r="H68" i="44"/>
  <c r="G68" i="44"/>
  <c r="F68" i="44"/>
  <c r="E68" i="44"/>
  <c r="D68" i="44"/>
  <c r="I67" i="44"/>
  <c r="H67" i="44"/>
  <c r="G67" i="44"/>
  <c r="F67" i="44"/>
  <c r="E67" i="44"/>
  <c r="D67" i="44"/>
  <c r="I65" i="44"/>
  <c r="H65" i="44"/>
  <c r="G65" i="44"/>
  <c r="F65" i="44"/>
  <c r="E65" i="44"/>
  <c r="D65" i="44"/>
  <c r="I64" i="44"/>
  <c r="H64" i="44"/>
  <c r="G64" i="44"/>
  <c r="F64" i="44"/>
  <c r="E64" i="44"/>
  <c r="D64" i="44"/>
  <c r="I63" i="44"/>
  <c r="H63" i="44"/>
  <c r="G63" i="44"/>
  <c r="F63" i="44"/>
  <c r="E63" i="44"/>
  <c r="D63" i="44"/>
  <c r="I62" i="44"/>
  <c r="H62" i="44"/>
  <c r="G62" i="44"/>
  <c r="F62" i="44"/>
  <c r="E62" i="44"/>
  <c r="D62" i="44"/>
  <c r="I60" i="44"/>
  <c r="H60" i="44"/>
  <c r="G60" i="44"/>
  <c r="F60" i="44"/>
  <c r="E60" i="44"/>
  <c r="D60" i="44"/>
  <c r="I58" i="44"/>
  <c r="H58" i="44"/>
  <c r="G58" i="44"/>
  <c r="F58" i="44"/>
  <c r="E58" i="44"/>
  <c r="D58" i="44"/>
  <c r="I57" i="44"/>
  <c r="H57" i="44"/>
  <c r="G57" i="44"/>
  <c r="F57" i="44"/>
  <c r="E57" i="44"/>
  <c r="D57" i="44"/>
  <c r="I56" i="44"/>
  <c r="H56" i="44"/>
  <c r="G56" i="44"/>
  <c r="F56" i="44"/>
  <c r="E56" i="44"/>
  <c r="D56" i="44"/>
  <c r="I55" i="44"/>
  <c r="H55" i="44"/>
  <c r="G55" i="44"/>
  <c r="F55" i="44"/>
  <c r="E55" i="44"/>
  <c r="D55" i="44"/>
  <c r="I54" i="44"/>
  <c r="H54" i="44"/>
  <c r="G54" i="44"/>
  <c r="F54" i="44"/>
  <c r="E54" i="44"/>
  <c r="D54" i="44"/>
  <c r="I53" i="44"/>
  <c r="H53" i="44"/>
  <c r="G53" i="44"/>
  <c r="F53" i="44"/>
  <c r="E53" i="44"/>
  <c r="D53" i="44"/>
  <c r="I52" i="44"/>
  <c r="H52" i="44"/>
  <c r="G52" i="44"/>
  <c r="F52" i="44"/>
  <c r="E52" i="44"/>
  <c r="D52" i="44"/>
  <c r="I51" i="44"/>
  <c r="H51" i="44"/>
  <c r="G51" i="44"/>
  <c r="F51" i="44"/>
  <c r="E51" i="44"/>
  <c r="D51" i="44"/>
  <c r="I50" i="44"/>
  <c r="H50" i="44"/>
  <c r="G50" i="44"/>
  <c r="F50" i="44"/>
  <c r="E50" i="44"/>
  <c r="D50" i="44"/>
  <c r="I49" i="44"/>
  <c r="H49" i="44"/>
  <c r="G49" i="44"/>
  <c r="F49" i="44"/>
  <c r="E49" i="44"/>
  <c r="D49" i="44"/>
  <c r="I48" i="44"/>
  <c r="H48" i="44"/>
  <c r="G48" i="44"/>
  <c r="F48" i="44"/>
  <c r="E48" i="44"/>
  <c r="D48" i="44"/>
  <c r="I47" i="44"/>
  <c r="H47" i="44"/>
  <c r="G47" i="44"/>
  <c r="F47" i="44"/>
  <c r="E47" i="44"/>
  <c r="D47" i="44"/>
  <c r="I46" i="44"/>
  <c r="H46" i="44"/>
  <c r="G46" i="44"/>
  <c r="F46" i="44"/>
  <c r="E46" i="44"/>
  <c r="D46" i="44"/>
  <c r="I45" i="44"/>
  <c r="H45" i="44"/>
  <c r="G45" i="44"/>
  <c r="F45" i="44"/>
  <c r="E45" i="44"/>
  <c r="D45" i="44"/>
  <c r="I44" i="44"/>
  <c r="H44" i="44"/>
  <c r="G44" i="44"/>
  <c r="F44" i="44"/>
  <c r="E44" i="44"/>
  <c r="D44" i="44"/>
  <c r="I43" i="44"/>
  <c r="H43" i="44"/>
  <c r="G43" i="44"/>
  <c r="F43" i="44"/>
  <c r="E43" i="44"/>
  <c r="D43" i="44"/>
  <c r="I42" i="44"/>
  <c r="H42" i="44"/>
  <c r="G42" i="44"/>
  <c r="F42" i="44"/>
  <c r="E42" i="44"/>
  <c r="D42" i="44"/>
  <c r="I41" i="44"/>
  <c r="H41" i="44"/>
  <c r="G41" i="44"/>
  <c r="F41" i="44"/>
  <c r="E41" i="44"/>
  <c r="D41" i="44"/>
  <c r="I40" i="44"/>
  <c r="H40" i="44"/>
  <c r="G40" i="44"/>
  <c r="F40" i="44"/>
  <c r="E40" i="44"/>
  <c r="D40" i="44"/>
  <c r="I39" i="44"/>
  <c r="H39" i="44"/>
  <c r="G39" i="44"/>
  <c r="F39" i="44"/>
  <c r="E39" i="44"/>
  <c r="D39" i="44"/>
  <c r="I38" i="44"/>
  <c r="H38" i="44"/>
  <c r="G38" i="44"/>
  <c r="F38" i="44"/>
  <c r="E38" i="44"/>
  <c r="D38" i="44"/>
  <c r="I37" i="44"/>
  <c r="H37" i="44"/>
  <c r="G37" i="44"/>
  <c r="F37" i="44"/>
  <c r="E37" i="44"/>
  <c r="D37" i="44"/>
  <c r="I36" i="44"/>
  <c r="H36" i="44"/>
  <c r="G36" i="44"/>
  <c r="F36" i="44"/>
  <c r="E36" i="44"/>
  <c r="D36" i="44"/>
  <c r="I35" i="44"/>
  <c r="H35" i="44"/>
  <c r="G35" i="44"/>
  <c r="F35" i="44"/>
  <c r="E35" i="44"/>
  <c r="D35" i="44"/>
  <c r="I34" i="44"/>
  <c r="H34" i="44"/>
  <c r="G34" i="44"/>
  <c r="F34" i="44"/>
  <c r="E34" i="44"/>
  <c r="D34" i="44"/>
  <c r="I33" i="44"/>
  <c r="H33" i="44"/>
  <c r="G33" i="44"/>
  <c r="F33" i="44"/>
  <c r="E33" i="44"/>
  <c r="D33" i="44"/>
  <c r="I32" i="44"/>
  <c r="H32" i="44"/>
  <c r="G32" i="44"/>
  <c r="F32" i="44"/>
  <c r="E32" i="44"/>
  <c r="D32" i="44"/>
  <c r="I31" i="44"/>
  <c r="H31" i="44"/>
  <c r="G31" i="44"/>
  <c r="F31" i="44"/>
  <c r="E31" i="44"/>
  <c r="D31" i="44"/>
  <c r="I29" i="44"/>
  <c r="H29" i="44"/>
  <c r="G29" i="44"/>
  <c r="F29" i="44"/>
  <c r="E29" i="44"/>
  <c r="D29" i="44"/>
  <c r="I27" i="44"/>
  <c r="H27" i="44"/>
  <c r="G27" i="44"/>
  <c r="F27" i="44"/>
  <c r="E27" i="44"/>
  <c r="D27" i="44"/>
  <c r="I26" i="44"/>
  <c r="H26" i="44"/>
  <c r="G26" i="44"/>
  <c r="F26" i="44"/>
  <c r="E26" i="44"/>
  <c r="D26" i="44"/>
  <c r="I25" i="44"/>
  <c r="H25" i="44"/>
  <c r="G25" i="44"/>
  <c r="F25" i="44"/>
  <c r="E25" i="44"/>
  <c r="D25" i="44"/>
  <c r="I24" i="44"/>
  <c r="H24" i="44"/>
  <c r="G24" i="44"/>
  <c r="F24" i="44"/>
  <c r="E24" i="44"/>
  <c r="D24" i="44"/>
  <c r="I23" i="44"/>
  <c r="H23" i="44"/>
  <c r="G23" i="44"/>
  <c r="F23" i="44"/>
  <c r="E23" i="44"/>
  <c r="D23" i="44"/>
  <c r="I22" i="44"/>
  <c r="H22" i="44"/>
  <c r="G22" i="44"/>
  <c r="F22" i="44"/>
  <c r="E22" i="44"/>
  <c r="D22" i="44"/>
  <c r="I21" i="44"/>
  <c r="H21" i="44"/>
  <c r="G21" i="44"/>
  <c r="F21" i="44"/>
  <c r="E21" i="44"/>
  <c r="D21" i="44"/>
  <c r="I20" i="44"/>
  <c r="H20" i="44"/>
  <c r="G20" i="44"/>
  <c r="F20" i="44"/>
  <c r="E20" i="44"/>
  <c r="D20" i="44"/>
  <c r="I19" i="44"/>
  <c r="H19" i="44"/>
  <c r="G19" i="44"/>
  <c r="F19" i="44"/>
  <c r="E19" i="44"/>
  <c r="D19" i="44"/>
  <c r="I18" i="44"/>
  <c r="H18" i="44"/>
  <c r="G18" i="44"/>
  <c r="F18" i="44"/>
  <c r="E18" i="44"/>
  <c r="D18" i="44"/>
  <c r="I17" i="44"/>
  <c r="H17" i="44"/>
  <c r="G17" i="44"/>
  <c r="F17" i="44"/>
  <c r="E17" i="44"/>
  <c r="D17" i="44"/>
  <c r="I16" i="44"/>
  <c r="H16" i="44"/>
  <c r="G16" i="44"/>
  <c r="F16" i="44"/>
  <c r="E16" i="44"/>
  <c r="D16" i="44"/>
  <c r="I15" i="44"/>
  <c r="H15" i="44"/>
  <c r="G15" i="44"/>
  <c r="F15" i="44"/>
  <c r="E15" i="44"/>
  <c r="D15" i="44"/>
  <c r="I14" i="44"/>
  <c r="H14" i="44"/>
  <c r="G14" i="44"/>
  <c r="F14" i="44"/>
  <c r="E14" i="44"/>
  <c r="D14" i="44"/>
  <c r="P22" i="241"/>
  <c r="O22" i="241"/>
  <c r="N22" i="241"/>
  <c r="M22" i="241"/>
  <c r="L22" i="241"/>
  <c r="K22" i="241"/>
  <c r="J22" i="241"/>
  <c r="I22" i="241"/>
  <c r="H22" i="241"/>
  <c r="G22" i="241"/>
  <c r="F22" i="241"/>
  <c r="E22" i="241"/>
  <c r="D22" i="241"/>
  <c r="P13" i="242"/>
  <c r="O13" i="242"/>
  <c r="N13" i="242"/>
  <c r="M13" i="242"/>
  <c r="L13" i="242"/>
  <c r="K13" i="242"/>
  <c r="J13" i="242"/>
  <c r="I13" i="242"/>
  <c r="H13" i="242"/>
  <c r="G13" i="242"/>
  <c r="F13" i="242"/>
  <c r="E13" i="242"/>
  <c r="D13" i="242"/>
  <c r="P13" i="241"/>
  <c r="O13" i="241"/>
  <c r="N13" i="241"/>
  <c r="M13" i="241"/>
  <c r="L13" i="241"/>
  <c r="K13" i="241"/>
  <c r="J13" i="241"/>
  <c r="I13" i="241"/>
  <c r="H13" i="241"/>
  <c r="G13" i="241"/>
  <c r="F13" i="241"/>
  <c r="E13" i="241"/>
  <c r="D13" i="241"/>
  <c r="D26" i="49" l="1"/>
  <c r="D140" i="51"/>
  <c r="D27" i="49"/>
  <c r="A62" i="50"/>
  <c r="A63" i="50" s="1"/>
  <c r="A64" i="50" s="1"/>
  <c r="A65" i="50" s="1"/>
  <c r="A66" i="50" s="1"/>
  <c r="A67" i="50" s="1"/>
  <c r="A68" i="50" s="1"/>
  <c r="A69" i="50" s="1"/>
  <c r="A70" i="50" s="1"/>
  <c r="A71" i="50" s="1"/>
  <c r="A14" i="228" l="1"/>
  <c r="A15" i="228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16" i="192"/>
  <c r="A17" i="192"/>
  <c r="A18" i="192" s="1"/>
  <c r="A19" i="192" s="1"/>
  <c r="A20" i="192" s="1"/>
  <c r="A21" i="192" s="1"/>
  <c r="A22" i="192" s="1"/>
  <c r="A23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14" i="222" l="1"/>
  <c r="A15" i="222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4" i="44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07" i="236"/>
  <c r="A108" i="236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/>
  <c r="A157" i="236" s="1"/>
  <c r="A158" i="236" s="1"/>
  <c r="A159" i="236" s="1"/>
  <c r="A160" i="236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195" i="207"/>
  <c r="A196" i="207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K26" i="95" l="1"/>
  <c r="I82" i="232" l="1"/>
  <c r="L51" i="232"/>
  <c r="D68" i="232" l="1"/>
  <c r="D70" i="232" s="1"/>
  <c r="A27" i="3" l="1"/>
  <c r="A24" i="3"/>
  <c r="A25" i="3" s="1"/>
  <c r="A24" i="137"/>
  <c r="A25" i="137" s="1"/>
  <c r="N14" i="106" l="1"/>
  <c r="J14" i="106"/>
  <c r="J21" i="106"/>
  <c r="J20" i="106" l="1"/>
  <c r="J25" i="106"/>
  <c r="J17" i="106"/>
  <c r="J24" i="106"/>
  <c r="J16" i="106"/>
  <c r="F24" i="3"/>
  <c r="D24" i="3"/>
  <c r="J23" i="106"/>
  <c r="J19" i="106"/>
  <c r="J15" i="106"/>
  <c r="I15" i="106" s="1"/>
  <c r="I16" i="106" s="1"/>
  <c r="J26" i="106"/>
  <c r="J22" i="106"/>
  <c r="J18" i="106"/>
  <c r="J27" i="106" l="1"/>
  <c r="I17" i="106"/>
  <c r="I18" i="106" s="1"/>
  <c r="I19" i="106" s="1"/>
  <c r="I20" i="106" s="1"/>
  <c r="I21" i="106" s="1"/>
  <c r="I22" i="106" s="1"/>
  <c r="I23" i="106" s="1"/>
  <c r="I24" i="106" s="1"/>
  <c r="I25" i="106" s="1"/>
  <c r="I26" i="106" s="1"/>
  <c r="I27" i="106" l="1"/>
  <c r="G23" i="4" l="1"/>
  <c r="K23" i="4" l="1"/>
  <c r="G25" i="4" l="1"/>
  <c r="H43" i="10" s="1"/>
  <c r="O17" i="238" l="1"/>
  <c r="O31" i="238"/>
  <c r="G18" i="249"/>
  <c r="A163" i="79" l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A165" i="45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K19" i="34" l="1"/>
  <c r="K18" i="34"/>
  <c r="K23" i="34" l="1"/>
  <c r="K24" i="34"/>
  <c r="L91" i="222" l="1"/>
  <c r="H91" i="222"/>
  <c r="O91" i="222"/>
  <c r="K91" i="222"/>
  <c r="G91" i="222"/>
  <c r="N91" i="222"/>
  <c r="J91" i="222"/>
  <c r="F91" i="222"/>
  <c r="D91" i="222"/>
  <c r="M91" i="222"/>
  <c r="I91" i="222"/>
  <c r="E91" i="222"/>
  <c r="S26" i="39" l="1"/>
  <c r="S27" i="39"/>
  <c r="S28" i="39"/>
  <c r="S25" i="39"/>
  <c r="N107" i="209" l="1"/>
  <c r="L107" i="209"/>
  <c r="M107" i="209"/>
  <c r="N108" i="209"/>
  <c r="L108" i="209"/>
  <c r="M108" i="209"/>
  <c r="G107" i="209"/>
  <c r="H107" i="209"/>
  <c r="F107" i="209"/>
  <c r="I107" i="209" s="1"/>
  <c r="L107" i="236"/>
  <c r="M107" i="236"/>
  <c r="N107" i="236"/>
  <c r="H107" i="236"/>
  <c r="G107" i="236"/>
  <c r="F107" i="236"/>
  <c r="I107" i="236" s="1"/>
  <c r="C132" i="248" l="1"/>
  <c r="C131" i="248"/>
  <c r="C130" i="248"/>
  <c r="C129" i="248"/>
  <c r="C128" i="248"/>
  <c r="C127" i="248"/>
  <c r="C126" i="248"/>
  <c r="C125" i="248"/>
  <c r="C124" i="248"/>
  <c r="C123" i="248"/>
  <c r="C122" i="248"/>
  <c r="C121" i="248"/>
  <c r="C120" i="248"/>
  <c r="C119" i="248"/>
  <c r="C118" i="248"/>
  <c r="C117" i="248"/>
  <c r="C116" i="248"/>
  <c r="C115" i="248"/>
  <c r="C114" i="248"/>
  <c r="C113" i="248"/>
  <c r="C112" i="248"/>
  <c r="C111" i="248"/>
  <c r="C110" i="248"/>
  <c r="C109" i="248"/>
  <c r="C108" i="248"/>
  <c r="C107" i="248"/>
  <c r="C106" i="248"/>
  <c r="C105" i="248"/>
  <c r="C104" i="248"/>
  <c r="C103" i="248"/>
  <c r="C102" i="248"/>
  <c r="C101" i="248"/>
  <c r="C100" i="248"/>
  <c r="C99" i="248"/>
  <c r="C98" i="248"/>
  <c r="C97" i="248"/>
  <c r="C96" i="248"/>
  <c r="C95" i="248"/>
  <c r="C94" i="248"/>
  <c r="C93" i="248"/>
  <c r="C92" i="248"/>
  <c r="C91" i="248"/>
  <c r="C90" i="248"/>
  <c r="C89" i="248"/>
  <c r="C88" i="248"/>
  <c r="C87" i="248"/>
  <c r="C86" i="248"/>
  <c r="C85" i="248"/>
  <c r="C84" i="248"/>
  <c r="C83" i="248"/>
  <c r="C82" i="248"/>
  <c r="C81" i="248"/>
  <c r="C80" i="248"/>
  <c r="C79" i="248"/>
  <c r="C78" i="248"/>
  <c r="C77" i="248"/>
  <c r="A23" i="237" l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A14" i="226" l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23" i="213" l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I16" i="171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24" i="227" l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6" i="190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F198" i="209" l="1"/>
  <c r="F195" i="213"/>
  <c r="F196" i="213"/>
  <c r="D29" i="45" l="1"/>
  <c r="K25" i="39"/>
  <c r="K26" i="39"/>
  <c r="K27" i="39"/>
  <c r="K28" i="39"/>
  <c r="J36" i="42"/>
  <c r="L36" i="42" s="1"/>
  <c r="O12" i="39"/>
  <c r="M12" i="39"/>
  <c r="O12" i="41"/>
  <c r="M12" i="41"/>
  <c r="F195" i="207" l="1"/>
  <c r="J15" i="44" l="1"/>
  <c r="K15" i="44" s="1"/>
  <c r="L15" i="44" s="1"/>
  <c r="M15" i="44" s="1"/>
  <c r="N15" i="44" s="1"/>
  <c r="O15" i="44" s="1"/>
  <c r="A15" i="192"/>
  <c r="D38" i="190"/>
  <c r="E38" i="190"/>
  <c r="F38" i="190"/>
  <c r="G38" i="190"/>
  <c r="H38" i="190"/>
  <c r="I38" i="190"/>
  <c r="E32" i="193"/>
  <c r="F32" i="193"/>
  <c r="G32" i="193"/>
  <c r="H32" i="193"/>
  <c r="I32" i="193"/>
  <c r="D32" i="193"/>
  <c r="P15" i="192" l="1"/>
  <c r="D30" i="193"/>
  <c r="J42" i="192" l="1"/>
  <c r="J50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I27" i="99"/>
  <c r="G18" i="99"/>
  <c r="G19" i="99"/>
  <c r="G20" i="99"/>
  <c r="G21" i="99"/>
  <c r="G22" i="99"/>
  <c r="G23" i="99"/>
  <c r="G24" i="99"/>
  <c r="G17" i="99"/>
  <c r="G16" i="99"/>
  <c r="E16" i="99"/>
  <c r="E19" i="99"/>
  <c r="E20" i="99"/>
  <c r="E21" i="99"/>
  <c r="E22" i="99"/>
  <c r="E23" i="99"/>
  <c r="E17" i="99"/>
  <c r="C16" i="99"/>
  <c r="C18" i="99"/>
  <c r="C19" i="99"/>
  <c r="C20" i="99"/>
  <c r="C21" i="99"/>
  <c r="C22" i="99"/>
  <c r="C23" i="99"/>
  <c r="C24" i="99"/>
  <c r="C17" i="99"/>
  <c r="A17" i="8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J18" i="98"/>
  <c r="A30" i="8" l="1"/>
  <c r="A31" i="8" s="1"/>
  <c r="A32" i="8" s="1"/>
  <c r="A33" i="8" s="1"/>
  <c r="C61" i="238" l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37" i="42"/>
  <c r="O29" i="42"/>
  <c r="H37" i="42"/>
  <c r="H29" i="42"/>
  <c r="H19" i="42"/>
  <c r="H22" i="42" s="1"/>
  <c r="I33" i="10" l="1"/>
  <c r="I66" i="10"/>
  <c r="I64" i="10"/>
  <c r="O22" i="42"/>
  <c r="O31" i="42" s="1"/>
  <c r="O41" i="42" s="1"/>
  <c r="H31" i="42"/>
  <c r="H41" i="42" s="1"/>
  <c r="H44" i="42" s="1"/>
  <c r="L9" i="5" l="1"/>
  <c r="K45" i="230" l="1"/>
  <c r="L45" i="230" s="1"/>
  <c r="M45" i="230" s="1"/>
  <c r="N45" i="230" s="1"/>
  <c r="O45" i="230" s="1"/>
  <c r="P45" i="230" s="1"/>
  <c r="D45" i="233" s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6" i="190" l="1"/>
  <c r="A15" i="190" l="1"/>
  <c r="Q22" i="241" l="1"/>
  <c r="G108" i="236" l="1"/>
  <c r="H108" i="236"/>
  <c r="L108" i="236"/>
  <c r="M108" i="236"/>
  <c r="F108" i="236"/>
  <c r="I108" i="236" l="1"/>
  <c r="N108" i="236"/>
  <c r="F211" i="213"/>
  <c r="D119" i="213" l="1"/>
  <c r="F211" i="207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K64" i="171" l="1"/>
  <c r="L64" i="171" s="1"/>
  <c r="M64" i="171" s="1"/>
  <c r="N64" i="171" s="1"/>
  <c r="M9" i="95" l="1"/>
  <c r="N18" i="42" l="1"/>
  <c r="G16" i="249" l="1"/>
  <c r="J36" i="171" l="1"/>
  <c r="K36" i="171" s="1"/>
  <c r="L36" i="171" s="1"/>
  <c r="M36" i="171" s="1"/>
  <c r="N36" i="171" s="1"/>
  <c r="J65" i="171"/>
  <c r="K65" i="171" s="1"/>
  <c r="L65" i="171" s="1"/>
  <c r="M65" i="171" s="1"/>
  <c r="N65" i="171" s="1"/>
  <c r="J37" i="171"/>
  <c r="K37" i="171" s="1"/>
  <c r="L37" i="171" s="1"/>
  <c r="M37" i="171" s="1"/>
  <c r="N37" i="171" s="1"/>
  <c r="J50" i="171"/>
  <c r="K50" i="171" s="1"/>
  <c r="L50" i="171" s="1"/>
  <c r="M50" i="171" s="1"/>
  <c r="N50" i="171" s="1"/>
  <c r="J49" i="171"/>
  <c r="K49" i="171" s="1"/>
  <c r="L49" i="171" s="1"/>
  <c r="M49" i="171" s="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H57" i="238" l="1"/>
  <c r="H58" i="238"/>
  <c r="F58" i="238"/>
  <c r="F56" i="238"/>
  <c r="G58" i="238"/>
  <c r="G57" i="238"/>
  <c r="K58" i="238"/>
  <c r="K57" i="238"/>
  <c r="I58" i="238"/>
  <c r="I56" i="238"/>
  <c r="G44" i="238"/>
  <c r="G45" i="238"/>
  <c r="H44" i="238"/>
  <c r="H45" i="238"/>
  <c r="I44" i="238"/>
  <c r="I45" i="238"/>
  <c r="K45" i="238"/>
  <c r="K44" i="238"/>
  <c r="J57" i="238"/>
  <c r="J58" i="238"/>
  <c r="J44" i="238"/>
  <c r="J45" i="238"/>
  <c r="F45" i="238"/>
  <c r="F43" i="238"/>
  <c r="P30" i="231"/>
  <c r="P22" i="231"/>
  <c r="F108" i="209"/>
  <c r="G108" i="209"/>
  <c r="H108" i="209"/>
  <c r="F44" i="238" l="1"/>
  <c r="J56" i="238"/>
  <c r="H43" i="238"/>
  <c r="G30" i="238"/>
  <c r="G29" i="238"/>
  <c r="G56" i="238"/>
  <c r="F57" i="238"/>
  <c r="G43" i="238"/>
  <c r="F30" i="238"/>
  <c r="F29" i="238"/>
  <c r="K43" i="238"/>
  <c r="J43" i="238"/>
  <c r="I43" i="238"/>
  <c r="I57" i="238"/>
  <c r="K56" i="238"/>
  <c r="H30" i="238"/>
  <c r="H29" i="238"/>
  <c r="H56" i="238"/>
  <c r="I108" i="209"/>
  <c r="M30" i="238" l="1"/>
  <c r="J30" i="238"/>
  <c r="N30" i="238"/>
  <c r="K30" i="238"/>
  <c r="M29" i="238"/>
  <c r="J29" i="238"/>
  <c r="L30" i="238"/>
  <c r="I30" i="238"/>
  <c r="N29" i="238"/>
  <c r="K29" i="238"/>
  <c r="I29" i="238"/>
  <c r="L29" i="238"/>
  <c r="I28" i="238"/>
  <c r="K28" i="238"/>
  <c r="H28" i="238"/>
  <c r="F28" i="238"/>
  <c r="J28" i="238"/>
  <c r="G28" i="238"/>
  <c r="G20" i="249"/>
  <c r="G22" i="249" s="1"/>
  <c r="G9" i="249" l="1"/>
  <c r="A2" i="249"/>
  <c r="A1" i="249"/>
  <c r="F106" i="237" l="1"/>
  <c r="G106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131" i="248"/>
  <c r="F69" i="248"/>
  <c r="G23" i="34" l="1"/>
  <c r="G24" i="34" l="1"/>
  <c r="D18" i="102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13" i="226"/>
  <c r="A69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117" i="51" l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D8" i="214"/>
  <c r="E11" i="230" s="1"/>
  <c r="C8" i="214" l="1"/>
  <c r="D11" i="230" s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I20" i="212"/>
  <c r="H176" i="209"/>
  <c r="H174" i="213"/>
  <c r="I21" i="212"/>
  <c r="H207" i="209"/>
  <c r="G205" i="237"/>
  <c r="H206" i="213"/>
  <c r="H179" i="213" l="1"/>
  <c r="H181" i="209"/>
  <c r="H116" i="207"/>
  <c r="H119" i="236"/>
  <c r="G173" i="207"/>
  <c r="G175" i="236"/>
  <c r="G205" i="207"/>
  <c r="G206" i="236"/>
  <c r="H205" i="207"/>
  <c r="H211" i="207" s="1"/>
  <c r="M211" i="207" s="1"/>
  <c r="H206" i="236"/>
  <c r="F204" i="237"/>
  <c r="G206" i="209"/>
  <c r="G205" i="213"/>
  <c r="H205" i="213"/>
  <c r="H211" i="213" s="1"/>
  <c r="M211" i="213" s="1"/>
  <c r="G204" i="237"/>
  <c r="G210" i="237" s="1"/>
  <c r="H206" i="209"/>
  <c r="H212" i="209" s="1"/>
  <c r="M212" i="209" s="1"/>
  <c r="G173" i="237"/>
  <c r="H173" i="213"/>
  <c r="H175" i="209"/>
  <c r="H198" i="209" s="1"/>
  <c r="M198" i="209" s="1"/>
  <c r="G175" i="209"/>
  <c r="G198" i="209" s="1"/>
  <c r="G173" i="213"/>
  <c r="F173" i="237"/>
  <c r="G117" i="237"/>
  <c r="H119" i="209"/>
  <c r="H116" i="213"/>
  <c r="H175" i="236"/>
  <c r="H173" i="207"/>
  <c r="H207" i="236"/>
  <c r="H206" i="207"/>
  <c r="H213" i="213"/>
  <c r="H223" i="213"/>
  <c r="H224" i="213"/>
  <c r="H209" i="213"/>
  <c r="H222" i="213"/>
  <c r="G223" i="237"/>
  <c r="G208" i="237"/>
  <c r="G222" i="237"/>
  <c r="G221" i="237"/>
  <c r="G212" i="237"/>
  <c r="H214" i="209"/>
  <c r="H225" i="209"/>
  <c r="H223" i="209"/>
  <c r="H224" i="209"/>
  <c r="H210" i="209"/>
  <c r="H176" i="236"/>
  <c r="G174" i="237"/>
  <c r="G179" i="237"/>
  <c r="H174" i="207"/>
  <c r="I17" i="212"/>
  <c r="I14" i="212"/>
  <c r="I15" i="212"/>
  <c r="K53" i="192" l="1"/>
  <c r="J53" i="192"/>
  <c r="E17" i="250"/>
  <c r="E30" i="250" s="1"/>
  <c r="J33" i="193"/>
  <c r="K33" i="193"/>
  <c r="M39" i="190"/>
  <c r="J39" i="190"/>
  <c r="N39" i="190"/>
  <c r="K39" i="190"/>
  <c r="O39" i="190"/>
  <c r="L39" i="190"/>
  <c r="E15" i="250"/>
  <c r="E27" i="250" s="1"/>
  <c r="E132" i="248"/>
  <c r="F132" i="248" s="1"/>
  <c r="E70" i="248"/>
  <c r="F70" i="248" s="1"/>
  <c r="H195" i="213"/>
  <c r="M195" i="213" s="1"/>
  <c r="H196" i="213"/>
  <c r="M196" i="213" s="1"/>
  <c r="G196" i="237"/>
  <c r="G195" i="237"/>
  <c r="L198" i="209"/>
  <c r="N198" i="209" s="1"/>
  <c r="I198" i="209"/>
  <c r="F196" i="237"/>
  <c r="F195" i="237"/>
  <c r="G196" i="213"/>
  <c r="G195" i="213"/>
  <c r="G212" i="209"/>
  <c r="F210" i="237"/>
  <c r="G211" i="207"/>
  <c r="H179" i="207"/>
  <c r="G211" i="213"/>
  <c r="H213" i="236"/>
  <c r="M213" i="236" s="1"/>
  <c r="H212" i="236"/>
  <c r="M212" i="236" s="1"/>
  <c r="G213" i="236"/>
  <c r="G212" i="236"/>
  <c r="D27" i="102"/>
  <c r="D28" i="102" s="1"/>
  <c r="H181" i="236"/>
  <c r="M33" i="193"/>
  <c r="N33" i="193"/>
  <c r="O33" i="193"/>
  <c r="L33" i="193"/>
  <c r="N53" i="192"/>
  <c r="M53" i="192"/>
  <c r="L53" i="192"/>
  <c r="O53" i="192"/>
  <c r="F21" i="247"/>
  <c r="D23" i="103"/>
  <c r="E25" i="100"/>
  <c r="D18" i="239"/>
  <c r="E21" i="105"/>
  <c r="D22" i="102"/>
  <c r="H178" i="236"/>
  <c r="H197" i="236"/>
  <c r="H192" i="236"/>
  <c r="H193" i="236"/>
  <c r="H195" i="236"/>
  <c r="H179" i="236"/>
  <c r="H186" i="236"/>
  <c r="H199" i="236"/>
  <c r="H190" i="236"/>
  <c r="H188" i="236"/>
  <c r="H189" i="236"/>
  <c r="H191" i="236"/>
  <c r="H182" i="236"/>
  <c r="H184" i="236"/>
  <c r="H185" i="236"/>
  <c r="H187" i="236"/>
  <c r="H194" i="236"/>
  <c r="H180" i="236"/>
  <c r="H183" i="236"/>
  <c r="H177" i="236"/>
  <c r="H196" i="236"/>
  <c r="H225" i="236"/>
  <c r="H224" i="236"/>
  <c r="H223" i="236"/>
  <c r="H214" i="236"/>
  <c r="H210" i="236"/>
  <c r="E39" i="100"/>
  <c r="D22" i="239"/>
  <c r="D37" i="103"/>
  <c r="D32" i="102"/>
  <c r="F27" i="247"/>
  <c r="E31" i="105"/>
  <c r="E26" i="105"/>
  <c r="D20" i="239"/>
  <c r="E32" i="100"/>
  <c r="D30" i="103"/>
  <c r="F24" i="247"/>
  <c r="H223" i="207"/>
  <c r="H222" i="207"/>
  <c r="H209" i="207"/>
  <c r="H213" i="207"/>
  <c r="H224" i="207"/>
  <c r="L212" i="209" l="1"/>
  <c r="H196" i="237"/>
  <c r="L195" i="213"/>
  <c r="N195" i="213" s="1"/>
  <c r="I195" i="213"/>
  <c r="L196" i="213"/>
  <c r="N196" i="213" s="1"/>
  <c r="I196" i="213"/>
  <c r="I211" i="207"/>
  <c r="L211" i="207"/>
  <c r="N211" i="207" s="1"/>
  <c r="I211" i="213"/>
  <c r="L211" i="213"/>
  <c r="N211" i="213" s="1"/>
  <c r="E28" i="250"/>
  <c r="E31" i="250"/>
  <c r="L212" i="236"/>
  <c r="L213" i="236"/>
  <c r="A13" i="222" l="1"/>
  <c r="A13" i="44"/>
  <c r="P14" i="44" l="1"/>
  <c r="D14" i="48" s="1"/>
  <c r="A14" i="79" l="1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G110" i="44" l="1"/>
  <c r="F110" i="44"/>
  <c r="D110" i="44"/>
  <c r="I110" i="44"/>
  <c r="E110" i="44"/>
  <c r="H110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K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E226" i="213"/>
  <c r="E198" i="213"/>
  <c r="E226" i="207"/>
  <c r="E198" i="207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8" i="209" s="1"/>
  <c r="A109" i="209" s="1"/>
  <c r="A110" i="209" s="1"/>
  <c r="A111" i="209" s="1"/>
  <c r="A112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18" i="236"/>
  <c r="A19" i="236" s="1"/>
  <c r="A20" i="236" s="1"/>
  <c r="A21" i="236" s="1"/>
  <c r="A16" i="213"/>
  <c r="A17" i="213" s="1"/>
  <c r="A16" i="207"/>
  <c r="A17" i="207" s="1"/>
  <c r="A22" i="237" l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8" i="213"/>
  <c r="A19" i="213" s="1"/>
  <c r="A20" i="213" s="1"/>
  <c r="A21" i="213" s="1"/>
  <c r="A18" i="207"/>
  <c r="A19" i="207" s="1"/>
  <c r="A20" i="207" s="1"/>
  <c r="A21" i="207" s="1"/>
  <c r="A22" i="213" l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D12" i="237" l="1"/>
  <c r="C12" i="215" l="1"/>
  <c r="C12" i="30"/>
  <c r="H12" i="30" s="1"/>
  <c r="G185" i="236" l="1"/>
  <c r="G189" i="236"/>
  <c r="G182" i="236"/>
  <c r="G186" i="236"/>
  <c r="G190" i="236"/>
  <c r="G194" i="236"/>
  <c r="G188" i="236"/>
  <c r="G196" i="236"/>
  <c r="G193" i="236"/>
  <c r="G178" i="236"/>
  <c r="G183" i="236"/>
  <c r="G187" i="236"/>
  <c r="G191" i="236"/>
  <c r="G195" i="236"/>
  <c r="G199" i="236"/>
  <c r="G179" i="236"/>
  <c r="G184" i="236"/>
  <c r="G192" i="236"/>
  <c r="G177" i="236"/>
  <c r="G180" i="236"/>
  <c r="G197" i="236"/>
  <c r="H175" i="207"/>
  <c r="H176" i="207" s="1"/>
  <c r="H177" i="207" s="1"/>
  <c r="H178" i="207" s="1"/>
  <c r="H180" i="207" s="1"/>
  <c r="H181" i="207" s="1"/>
  <c r="H182" i="207" s="1"/>
  <c r="H183" i="207" s="1"/>
  <c r="H184" i="207" s="1"/>
  <c r="H185" i="207" s="1"/>
  <c r="H186" i="207" s="1"/>
  <c r="H187" i="207" s="1"/>
  <c r="H188" i="207" s="1"/>
  <c r="H189" i="207" s="1"/>
  <c r="H190" i="207" s="1"/>
  <c r="H191" i="207" s="1"/>
  <c r="H192" i="207" s="1"/>
  <c r="H193" i="207" s="1"/>
  <c r="M179" i="207"/>
  <c r="G175" i="207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J43" i="35"/>
  <c r="H36" i="35"/>
  <c r="H30" i="35"/>
  <c r="H25" i="35"/>
  <c r="J24" i="35"/>
  <c r="H18" i="35"/>
  <c r="H17" i="35"/>
  <c r="D38" i="79"/>
  <c r="F125" i="209"/>
  <c r="F126" i="209"/>
  <c r="F127" i="209"/>
  <c r="F128" i="209"/>
  <c r="F129" i="20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22" i="213"/>
  <c r="F123" i="213"/>
  <c r="F124" i="213"/>
  <c r="F125" i="213"/>
  <c r="F126" i="213"/>
  <c r="F128" i="213"/>
  <c r="F127" i="213"/>
  <c r="F129" i="213"/>
  <c r="F130" i="213"/>
  <c r="F131" i="213"/>
  <c r="F132" i="213"/>
  <c r="F133" i="213"/>
  <c r="F134" i="213"/>
  <c r="F135" i="213"/>
  <c r="F136" i="213"/>
  <c r="F137" i="213"/>
  <c r="F138" i="213"/>
  <c r="F139" i="213"/>
  <c r="F140" i="213"/>
  <c r="F141" i="213"/>
  <c r="F142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21" i="213"/>
  <c r="L173" i="213"/>
  <c r="M173" i="213"/>
  <c r="H117" i="213"/>
  <c r="M117" i="213" s="1"/>
  <c r="G209" i="209"/>
  <c r="M206" i="209"/>
  <c r="M175" i="209"/>
  <c r="M119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28" i="207"/>
  <c r="M128" i="207" s="1"/>
  <c r="G220" i="236"/>
  <c r="H226" i="236"/>
  <c r="L175" i="236"/>
  <c r="H150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P43" i="231" s="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E23" i="212"/>
  <c r="G21" i="84" s="1"/>
  <c r="O44" i="42" s="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17" i="237"/>
  <c r="F118" i="237"/>
  <c r="F123" i="237"/>
  <c r="F124" i="237"/>
  <c r="F125" i="237"/>
  <c r="F126" i="237"/>
  <c r="F127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8" i="237"/>
  <c r="F149" i="237"/>
  <c r="F150" i="237"/>
  <c r="F151" i="237"/>
  <c r="F152" i="237"/>
  <c r="F153" i="237"/>
  <c r="F154" i="237"/>
  <c r="F155" i="237"/>
  <c r="F156" i="237"/>
  <c r="F157" i="237"/>
  <c r="F158" i="237"/>
  <c r="F159" i="237"/>
  <c r="F160" i="237"/>
  <c r="F161" i="237"/>
  <c r="F162" i="237"/>
  <c r="F163" i="237"/>
  <c r="F86" i="237"/>
  <c r="G86" i="237"/>
  <c r="F87" i="237"/>
  <c r="G87" i="237"/>
  <c r="F88" i="237"/>
  <c r="G88" i="237"/>
  <c r="F89" i="237"/>
  <c r="G89" i="237"/>
  <c r="F90" i="237"/>
  <c r="G90" i="237"/>
  <c r="F91" i="237"/>
  <c r="G91" i="237"/>
  <c r="F92" i="237"/>
  <c r="G92" i="237"/>
  <c r="F93" i="237"/>
  <c r="G93" i="237"/>
  <c r="F94" i="237"/>
  <c r="G94" i="237"/>
  <c r="F95" i="237"/>
  <c r="G95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16" i="213"/>
  <c r="G117" i="213"/>
  <c r="G122" i="213"/>
  <c r="L122" i="213" s="1"/>
  <c r="G123" i="213"/>
  <c r="L123" i="213" s="1"/>
  <c r="G124" i="213"/>
  <c r="L124" i="213" s="1"/>
  <c r="G125" i="213"/>
  <c r="L125" i="213" s="1"/>
  <c r="G126" i="213"/>
  <c r="L126" i="213" s="1"/>
  <c r="G128" i="213"/>
  <c r="L128" i="213" s="1"/>
  <c r="G127" i="213"/>
  <c r="L127" i="213" s="1"/>
  <c r="G129" i="213"/>
  <c r="L129" i="213" s="1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7" i="213"/>
  <c r="G148" i="213"/>
  <c r="G149" i="213"/>
  <c r="G150" i="213"/>
  <c r="G151" i="213"/>
  <c r="G152" i="213"/>
  <c r="G153" i="213"/>
  <c r="G154" i="213"/>
  <c r="G155" i="213"/>
  <c r="G156" i="213"/>
  <c r="G157" i="213"/>
  <c r="G158" i="213"/>
  <c r="G159" i="213"/>
  <c r="G160" i="213"/>
  <c r="G161" i="213"/>
  <c r="G16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G168" i="213"/>
  <c r="L168" i="213" s="1"/>
  <c r="L111" i="213"/>
  <c r="M111" i="213"/>
  <c r="G119" i="209"/>
  <c r="L119" i="209" s="1"/>
  <c r="G120" i="209"/>
  <c r="G125" i="209"/>
  <c r="G126" i="209"/>
  <c r="L126" i="209" s="1"/>
  <c r="G127" i="209"/>
  <c r="L127" i="209" s="1"/>
  <c r="G128" i="209"/>
  <c r="L128" i="209" s="1"/>
  <c r="G129" i="209"/>
  <c r="L129" i="209" s="1"/>
  <c r="G130" i="209"/>
  <c r="G131" i="209"/>
  <c r="L131" i="209" s="1"/>
  <c r="G132" i="209"/>
  <c r="L132" i="209" s="1"/>
  <c r="G133" i="209"/>
  <c r="L133" i="209" s="1"/>
  <c r="G134" i="209"/>
  <c r="L134" i="209" s="1"/>
  <c r="G135" i="209"/>
  <c r="L135" i="209" s="1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50" i="209"/>
  <c r="L150" i="209" s="1"/>
  <c r="G151" i="209"/>
  <c r="L151" i="209" s="1"/>
  <c r="G152" i="209"/>
  <c r="L152" i="209" s="1"/>
  <c r="G153" i="209"/>
  <c r="L153" i="209" s="1"/>
  <c r="G154" i="209"/>
  <c r="L154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3" i="209"/>
  <c r="L163" i="209" s="1"/>
  <c r="G164" i="209"/>
  <c r="L164" i="209" s="1"/>
  <c r="G165" i="209"/>
  <c r="L165" i="209" s="1"/>
  <c r="G166" i="209"/>
  <c r="L16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/>
  <c r="P38" i="216"/>
  <c r="H26" i="215" s="1"/>
  <c r="P40" i="216"/>
  <c r="H27" i="215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J15" i="232"/>
  <c r="K15" i="232"/>
  <c r="G116" i="207"/>
  <c r="G117" i="207"/>
  <c r="G122" i="207"/>
  <c r="L122" i="207" s="1"/>
  <c r="G123" i="207"/>
  <c r="L123" i="207" s="1"/>
  <c r="G124" i="207"/>
  <c r="L124" i="207" s="1"/>
  <c r="G125" i="207"/>
  <c r="L125" i="207" s="1"/>
  <c r="G126" i="207"/>
  <c r="L126" i="207" s="1"/>
  <c r="G128" i="207"/>
  <c r="L128" i="207" s="1"/>
  <c r="G127" i="207"/>
  <c r="L127" i="207" s="1"/>
  <c r="G129" i="207"/>
  <c r="L129" i="207" s="1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7" i="207"/>
  <c r="G148" i="207"/>
  <c r="G149" i="207"/>
  <c r="G150" i="207"/>
  <c r="G151" i="207"/>
  <c r="G152" i="207"/>
  <c r="G153" i="207"/>
  <c r="G154" i="207"/>
  <c r="G155" i="207"/>
  <c r="G156" i="207"/>
  <c r="G157" i="207"/>
  <c r="G158" i="207"/>
  <c r="G159" i="207"/>
  <c r="G160" i="207"/>
  <c r="G161" i="207"/>
  <c r="G162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G168" i="207"/>
  <c r="L168" i="207" s="1"/>
  <c r="L111" i="207"/>
  <c r="M111" i="207"/>
  <c r="G119" i="236"/>
  <c r="L119" i="236" s="1"/>
  <c r="G120" i="236"/>
  <c r="L120" i="236" s="1"/>
  <c r="G125" i="236"/>
  <c r="L125" i="236" s="1"/>
  <c r="G126" i="236"/>
  <c r="L126" i="236" s="1"/>
  <c r="G127" i="236"/>
  <c r="L127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50" i="236"/>
  <c r="L150" i="236" s="1"/>
  <c r="G151" i="236"/>
  <c r="L151" i="236" s="1"/>
  <c r="G152" i="236"/>
  <c r="L152" i="236" s="1"/>
  <c r="G153" i="236"/>
  <c r="L153" i="236" s="1"/>
  <c r="G154" i="236"/>
  <c r="L154" i="236" s="1"/>
  <c r="G155" i="236"/>
  <c r="L155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G164" i="236"/>
  <c r="L164" i="236" s="1"/>
  <c r="G165" i="236"/>
  <c r="L165" i="236" s="1"/>
  <c r="G166" i="236"/>
  <c r="L166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06" i="236"/>
  <c r="M106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J2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E21" i="84"/>
  <c r="O49" i="35"/>
  <c r="O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I19" i="34"/>
  <c r="I28" i="34"/>
  <c r="I29" i="34"/>
  <c r="I30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77" i="248"/>
  <c r="F78" i="248"/>
  <c r="F79" i="248"/>
  <c r="F80" i="248"/>
  <c r="F81" i="248"/>
  <c r="F82" i="248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D135" i="248"/>
  <c r="F15" i="248"/>
  <c r="F16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66" i="248"/>
  <c r="F67" i="248"/>
  <c r="F68" i="248"/>
  <c r="D73" i="248"/>
  <c r="A5" i="248"/>
  <c r="A4" i="248"/>
  <c r="A2" i="248"/>
  <c r="A1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3" i="248"/>
  <c r="A34" i="248" s="1"/>
  <c r="A35" i="248" s="1"/>
  <c r="A36" i="248" s="1"/>
  <c r="A38" i="248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8" i="248"/>
  <c r="A79" i="248" s="1"/>
  <c r="A80" i="248" s="1"/>
  <c r="A81" i="248" s="1"/>
  <c r="A82" i="248" s="1"/>
  <c r="A83" i="248" s="1"/>
  <c r="A84" i="248" s="1"/>
  <c r="A85" i="248" s="1"/>
  <c r="A86" i="248" s="1"/>
  <c r="A87" i="248" s="1"/>
  <c r="A88" i="248" s="1"/>
  <c r="A89" i="248" s="1"/>
  <c r="A90" i="248" s="1"/>
  <c r="A91" i="248" s="1"/>
  <c r="A92" i="248" s="1"/>
  <c r="A93" i="248" s="1"/>
  <c r="A95" i="248"/>
  <c r="A96" i="248" s="1"/>
  <c r="A97" i="248" s="1"/>
  <c r="A98" i="248" s="1"/>
  <c r="A100" i="248"/>
  <c r="A101" i="248" s="1"/>
  <c r="A102" i="248" s="1"/>
  <c r="A103" i="248" s="1"/>
  <c r="A104" i="248" s="1"/>
  <c r="A105" i="248" s="1"/>
  <c r="A106" i="248" s="1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2" i="207"/>
  <c r="F123" i="207"/>
  <c r="F124" i="207"/>
  <c r="F125" i="207"/>
  <c r="F126" i="207"/>
  <c r="F128" i="207"/>
  <c r="F127" i="207"/>
  <c r="F129" i="207"/>
  <c r="F130" i="207"/>
  <c r="F131" i="207"/>
  <c r="F132" i="207"/>
  <c r="F133" i="207"/>
  <c r="F134" i="207"/>
  <c r="F135" i="207"/>
  <c r="F136" i="207"/>
  <c r="F137" i="207"/>
  <c r="F138" i="207"/>
  <c r="F139" i="207"/>
  <c r="F140" i="207"/>
  <c r="F141" i="207"/>
  <c r="F142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95" i="207"/>
  <c r="G96" i="207"/>
  <c r="H96" i="207"/>
  <c r="G97" i="207"/>
  <c r="H97" i="207"/>
  <c r="G98" i="207"/>
  <c r="H98" i="207"/>
  <c r="G99" i="207"/>
  <c r="H99" i="207"/>
  <c r="G100" i="207"/>
  <c r="H100" i="207"/>
  <c r="G101" i="207"/>
  <c r="H101" i="207"/>
  <c r="G102" i="207"/>
  <c r="H102" i="207"/>
  <c r="G103" i="207"/>
  <c r="H103" i="207"/>
  <c r="G104" i="207"/>
  <c r="H104" i="207"/>
  <c r="G105" i="207"/>
  <c r="H105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96" i="209"/>
  <c r="H96" i="209"/>
  <c r="G97" i="209"/>
  <c r="H97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5" i="236"/>
  <c r="F126" i="236"/>
  <c r="F127" i="236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06" i="236"/>
  <c r="H106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1" i="213"/>
  <c r="H111" i="213"/>
  <c r="G111" i="207"/>
  <c r="H111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7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0" i="236"/>
  <c r="E122" i="236"/>
  <c r="D147" i="236"/>
  <c r="E147" i="236"/>
  <c r="K147" i="236"/>
  <c r="E168" i="236"/>
  <c r="E201" i="236"/>
  <c r="E228" i="236"/>
  <c r="K144" i="213"/>
  <c r="E228" i="209"/>
  <c r="E201" i="209"/>
  <c r="E168" i="209"/>
  <c r="E59" i="209"/>
  <c r="K147" i="209"/>
  <c r="E110" i="209"/>
  <c r="E83" i="209"/>
  <c r="E47" i="209"/>
  <c r="E26" i="209"/>
  <c r="E19" i="209"/>
  <c r="E122" i="209"/>
  <c r="E147" i="209"/>
  <c r="D147" i="209"/>
  <c r="A8" i="209"/>
  <c r="A6" i="209"/>
  <c r="A4" i="209"/>
  <c r="H27" i="102"/>
  <c r="A1" i="235"/>
  <c r="A2" i="235"/>
  <c r="A3" i="235"/>
  <c r="A4" i="235"/>
  <c r="A1" i="233"/>
  <c r="A2" i="233"/>
  <c r="A1" i="232"/>
  <c r="A2" i="232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A2" i="231"/>
  <c r="A1" i="231"/>
  <c r="A4" i="230"/>
  <c r="A2" i="230"/>
  <c r="A1" i="230"/>
  <c r="L25" i="202"/>
  <c r="C50" i="228"/>
  <c r="B50" i="228"/>
  <c r="C32" i="227"/>
  <c r="B32" i="227"/>
  <c r="C36" i="226"/>
  <c r="B36" i="226"/>
  <c r="C52" i="192"/>
  <c r="B52" i="192"/>
  <c r="C32" i="193"/>
  <c r="B32" i="193"/>
  <c r="C38" i="190"/>
  <c r="B38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4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8" i="215"/>
  <c r="A9" i="215"/>
  <c r="A7" i="215"/>
  <c r="H12" i="215"/>
  <c r="A1" i="215"/>
  <c r="A3" i="214"/>
  <c r="A2" i="214"/>
  <c r="A1" i="214"/>
  <c r="A9" i="30"/>
  <c r="A7" i="30"/>
  <c r="A1" i="30"/>
  <c r="A7" i="67"/>
  <c r="A8" i="67"/>
  <c r="A6" i="67"/>
  <c r="A8" i="69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07" i="213"/>
  <c r="E119" i="213"/>
  <c r="E144" i="213"/>
  <c r="E164" i="213"/>
  <c r="K144" i="207"/>
  <c r="E119" i="207"/>
  <c r="E144" i="207"/>
  <c r="E164" i="207"/>
  <c r="E19" i="207"/>
  <c r="E26" i="207"/>
  <c r="E47" i="207"/>
  <c r="E59" i="207"/>
  <c r="E83" i="207"/>
  <c r="E107" i="207"/>
  <c r="D144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G46" i="35"/>
  <c r="G39" i="35"/>
  <c r="G26" i="35"/>
  <c r="G32" i="35" s="1"/>
  <c r="G28" i="35"/>
  <c r="G21" i="35"/>
  <c r="G19" i="35"/>
  <c r="F19" i="35" s="1"/>
  <c r="E46" i="35"/>
  <c r="E39" i="35"/>
  <c r="E26" i="35"/>
  <c r="E32" i="35" s="1"/>
  <c r="E28" i="35"/>
  <c r="E21" i="35"/>
  <c r="E19" i="35"/>
  <c r="C46" i="35"/>
  <c r="C39" i="35"/>
  <c r="C26" i="35"/>
  <c r="C32" i="35" s="1"/>
  <c r="C28" i="35"/>
  <c r="C21" i="35"/>
  <c r="C19" i="35"/>
  <c r="D19" i="35" s="1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D17" i="35"/>
  <c r="F17" i="35"/>
  <c r="J17" i="35"/>
  <c r="D18" i="35"/>
  <c r="F18" i="35"/>
  <c r="I19" i="35"/>
  <c r="H19" i="35" s="1"/>
  <c r="D24" i="35"/>
  <c r="F24" i="35"/>
  <c r="H24" i="35"/>
  <c r="D25" i="35"/>
  <c r="F25" i="35"/>
  <c r="D30" i="35"/>
  <c r="F30" i="35"/>
  <c r="J30" i="35"/>
  <c r="D35" i="35"/>
  <c r="F35" i="35"/>
  <c r="D36" i="35"/>
  <c r="F36" i="35"/>
  <c r="D42" i="35"/>
  <c r="F42" i="35"/>
  <c r="D43" i="35"/>
  <c r="F43" i="35"/>
  <c r="H43" i="35"/>
  <c r="D49" i="35"/>
  <c r="F49" i="35"/>
  <c r="H49" i="35"/>
  <c r="J49" i="35"/>
  <c r="D50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27" i="137" s="1"/>
  <c r="A16" i="3"/>
  <c r="A17" i="3" s="1"/>
  <c r="A19" i="3" s="1"/>
  <c r="A21" i="3" s="1"/>
  <c r="A22" i="3" s="1"/>
  <c r="A23" i="3" s="1"/>
  <c r="L50" i="35"/>
  <c r="N50" i="35"/>
  <c r="I21" i="100"/>
  <c r="I19" i="100"/>
  <c r="E50" i="100"/>
  <c r="A4" i="241"/>
  <c r="I22" i="243"/>
  <c r="I31" i="215"/>
  <c r="I25" i="215"/>
  <c r="E34" i="231"/>
  <c r="M186" i="236"/>
  <c r="E24" i="231"/>
  <c r="J30" i="231"/>
  <c r="M178" i="236"/>
  <c r="M175" i="236"/>
  <c r="M177" i="236"/>
  <c r="M179" i="236"/>
  <c r="M182" i="236"/>
  <c r="M184" i="236"/>
  <c r="M188" i="236"/>
  <c r="M190" i="236"/>
  <c r="M192" i="236"/>
  <c r="M194" i="236"/>
  <c r="M196" i="236"/>
  <c r="H161" i="207"/>
  <c r="M161" i="207" s="1"/>
  <c r="H159" i="207"/>
  <c r="M159" i="207" s="1"/>
  <c r="H155" i="207"/>
  <c r="M155" i="207" s="1"/>
  <c r="H154" i="207"/>
  <c r="M154" i="207" s="1"/>
  <c r="H153" i="207"/>
  <c r="M153" i="207" s="1"/>
  <c r="H150" i="207"/>
  <c r="M150" i="207" s="1"/>
  <c r="H157" i="209"/>
  <c r="H132" i="209"/>
  <c r="M132" i="209" s="1"/>
  <c r="H199" i="209"/>
  <c r="M199" i="209" s="1"/>
  <c r="H187" i="209"/>
  <c r="M187" i="209" s="1"/>
  <c r="H194" i="209"/>
  <c r="M194" i="209" s="1"/>
  <c r="M176" i="209"/>
  <c r="G125" i="237"/>
  <c r="G129" i="237"/>
  <c r="G133" i="237"/>
  <c r="G137" i="237"/>
  <c r="G141" i="237"/>
  <c r="G148" i="237"/>
  <c r="G150" i="237"/>
  <c r="G152" i="237"/>
  <c r="G153" i="237"/>
  <c r="G159" i="237"/>
  <c r="G161" i="237"/>
  <c r="G118" i="237"/>
  <c r="G126" i="237"/>
  <c r="G130" i="237"/>
  <c r="G134" i="237"/>
  <c r="G138" i="237"/>
  <c r="G142" i="237"/>
  <c r="G151" i="237"/>
  <c r="G154" i="237"/>
  <c r="G155" i="237"/>
  <c r="G156" i="237"/>
  <c r="G160" i="237"/>
  <c r="G162" i="237"/>
  <c r="G123" i="237"/>
  <c r="G127" i="237"/>
  <c r="G131" i="237"/>
  <c r="G135" i="237"/>
  <c r="G139" i="237"/>
  <c r="G143" i="237"/>
  <c r="G157" i="237"/>
  <c r="G163" i="237"/>
  <c r="G124" i="237"/>
  <c r="G128" i="237"/>
  <c r="G132" i="237"/>
  <c r="G136" i="237"/>
  <c r="G140" i="237"/>
  <c r="G149" i="237"/>
  <c r="G158" i="237"/>
  <c r="C51" i="238"/>
  <c r="H51" i="238" s="1"/>
  <c r="G194" i="237"/>
  <c r="G192" i="237"/>
  <c r="G190" i="237"/>
  <c r="G188" i="237"/>
  <c r="G186" i="237"/>
  <c r="G184" i="237"/>
  <c r="F215" i="237"/>
  <c r="G193" i="237"/>
  <c r="G191" i="237"/>
  <c r="G189" i="237"/>
  <c r="G187" i="237"/>
  <c r="G185" i="237"/>
  <c r="G183" i="237"/>
  <c r="G217" i="237"/>
  <c r="D145" i="237"/>
  <c r="I49" i="100"/>
  <c r="I51" i="100"/>
  <c r="T25" i="202" l="1"/>
  <c r="K25" i="4"/>
  <c r="E31" i="106"/>
  <c r="M14" i="106"/>
  <c r="A7" i="31"/>
  <c r="A8" i="24"/>
  <c r="A8" i="30"/>
  <c r="E8" i="67"/>
  <c r="H9" i="69"/>
  <c r="L8" i="232"/>
  <c r="H20" i="104"/>
  <c r="M21" i="46" s="1"/>
  <c r="F20" i="104"/>
  <c r="N17" i="35"/>
  <c r="Q30" i="231"/>
  <c r="H194" i="207"/>
  <c r="H196" i="207" s="1"/>
  <c r="H200" i="207" s="1"/>
  <c r="M200" i="207" s="1"/>
  <c r="H195" i="207"/>
  <c r="M195" i="207" s="1"/>
  <c r="N132" i="209"/>
  <c r="A4" i="233"/>
  <c r="M157" i="209"/>
  <c r="F42" i="232"/>
  <c r="P38" i="232"/>
  <c r="J24" i="231"/>
  <c r="P24" i="231"/>
  <c r="M150" i="236"/>
  <c r="J30" i="232"/>
  <c r="Q30" i="232" s="1"/>
  <c r="P30" i="232"/>
  <c r="J34" i="231"/>
  <c r="J22" i="232"/>
  <c r="P22" i="232"/>
  <c r="A7" i="230"/>
  <c r="A7" i="209"/>
  <c r="H19" i="103"/>
  <c r="I19" i="103" s="1"/>
  <c r="L161" i="207"/>
  <c r="L157" i="207"/>
  <c r="L153" i="207"/>
  <c r="L149" i="207"/>
  <c r="L117" i="207"/>
  <c r="L159" i="213"/>
  <c r="L155" i="213"/>
  <c r="L151" i="213"/>
  <c r="L147" i="213"/>
  <c r="F31" i="30"/>
  <c r="L160" i="207"/>
  <c r="L156" i="207"/>
  <c r="L152" i="207"/>
  <c r="L148" i="207"/>
  <c r="L116" i="207"/>
  <c r="L162" i="213"/>
  <c r="L158" i="213"/>
  <c r="L154" i="213"/>
  <c r="L150" i="213"/>
  <c r="F24" i="30"/>
  <c r="C28" i="215"/>
  <c r="L159" i="207"/>
  <c r="L155" i="207"/>
  <c r="L151" i="207"/>
  <c r="L147" i="207"/>
  <c r="L161" i="213"/>
  <c r="L157" i="213"/>
  <c r="L153" i="213"/>
  <c r="L149" i="213"/>
  <c r="L117" i="213"/>
  <c r="I16" i="239"/>
  <c r="L162" i="207"/>
  <c r="L158" i="207"/>
  <c r="L154" i="207"/>
  <c r="L150" i="207"/>
  <c r="L160" i="213"/>
  <c r="L156" i="213"/>
  <c r="L152" i="213"/>
  <c r="L148" i="213"/>
  <c r="L116" i="213"/>
  <c r="G176" i="207"/>
  <c r="L176" i="207" s="1"/>
  <c r="A7" i="236"/>
  <c r="A7" i="233"/>
  <c r="A6" i="190"/>
  <c r="D26" i="30"/>
  <c r="J38" i="238"/>
  <c r="N49" i="35"/>
  <c r="L49" i="35"/>
  <c r="F26" i="35"/>
  <c r="D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20" i="236"/>
  <c r="L209" i="209"/>
  <c r="L221" i="213"/>
  <c r="M177" i="207"/>
  <c r="D51" i="238"/>
  <c r="M188" i="207"/>
  <c r="D161" i="51"/>
  <c r="L38" i="238"/>
  <c r="K38" i="232"/>
  <c r="Q38" i="232" s="1"/>
  <c r="E26" i="30"/>
  <c r="G22" i="243"/>
  <c r="F19" i="30"/>
  <c r="M180" i="207"/>
  <c r="M192" i="207"/>
  <c r="E32" i="215"/>
  <c r="F32" i="215" s="1"/>
  <c r="M182" i="207"/>
  <c r="F32" i="231"/>
  <c r="K32" i="231" s="1"/>
  <c r="J27" i="30"/>
  <c r="M190" i="207"/>
  <c r="M175" i="207"/>
  <c r="M186" i="207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7" i="226"/>
  <c r="E37" i="226" s="1"/>
  <c r="F37" i="226" s="1"/>
  <c r="G37" i="226" s="1"/>
  <c r="H37" i="226" s="1"/>
  <c r="I37" i="226" s="1"/>
  <c r="J37" i="226" s="1"/>
  <c r="K37" i="226" s="1"/>
  <c r="L37" i="226" s="1"/>
  <c r="M37" i="226" s="1"/>
  <c r="N37" i="226" s="1"/>
  <c r="O37" i="226" s="1"/>
  <c r="J24" i="247"/>
  <c r="H30" i="103"/>
  <c r="I26" i="105"/>
  <c r="I32" i="100"/>
  <c r="E133" i="248"/>
  <c r="F133" i="248" s="1"/>
  <c r="F135" i="248" s="1"/>
  <c r="J21" i="247"/>
  <c r="I21" i="105"/>
  <c r="D51" i="228"/>
  <c r="E51" i="228" s="1"/>
  <c r="F51" i="228" s="1"/>
  <c r="G51" i="228" s="1"/>
  <c r="H51" i="228" s="1"/>
  <c r="I51" i="228" s="1"/>
  <c r="J51" i="228" s="1"/>
  <c r="K51" i="228" s="1"/>
  <c r="L51" i="228" s="1"/>
  <c r="M51" i="228" s="1"/>
  <c r="N51" i="228" s="1"/>
  <c r="O51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5"/>
  <c r="K28" i="35"/>
  <c r="J36" i="35"/>
  <c r="I18" i="34"/>
  <c r="I20" i="34" s="1"/>
  <c r="I21" i="35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D37" i="42"/>
  <c r="J30" i="39"/>
  <c r="G31" i="34"/>
  <c r="J35" i="39"/>
  <c r="I22" i="39"/>
  <c r="I22" i="41"/>
  <c r="I30" i="41"/>
  <c r="J22" i="41"/>
  <c r="J30" i="41"/>
  <c r="H30" i="39"/>
  <c r="I30" i="39"/>
  <c r="K26" i="35"/>
  <c r="K32" i="35" s="1"/>
  <c r="K46" i="35" s="1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J25" i="35"/>
  <c r="K21" i="35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26" i="35"/>
  <c r="H26" i="35" s="1"/>
  <c r="K19" i="35"/>
  <c r="J19" i="35" s="1"/>
  <c r="I36" i="39"/>
  <c r="J33" i="41"/>
  <c r="D22" i="42"/>
  <c r="C24" i="239"/>
  <c r="L174" i="207"/>
  <c r="G217" i="236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4" i="8"/>
  <c r="I19" i="8"/>
  <c r="I36" i="190"/>
  <c r="E30" i="193"/>
  <c r="O18" i="35"/>
  <c r="G213" i="237"/>
  <c r="J66" i="238"/>
  <c r="L66" i="238"/>
  <c r="M66" i="238"/>
  <c r="J33" i="215"/>
  <c r="H140" i="209"/>
  <c r="M140" i="209" s="1"/>
  <c r="N140" i="209" s="1"/>
  <c r="D24" i="103"/>
  <c r="D26" i="103"/>
  <c r="E25" i="30"/>
  <c r="F25" i="30" s="1"/>
  <c r="M224" i="236"/>
  <c r="M225" i="236"/>
  <c r="K66" i="238"/>
  <c r="I132" i="209"/>
  <c r="M181" i="236"/>
  <c r="L214" i="236"/>
  <c r="G219" i="237"/>
  <c r="H66" i="238"/>
  <c r="I66" i="238"/>
  <c r="H129" i="209"/>
  <c r="M129" i="209" s="1"/>
  <c r="N129" i="209" s="1"/>
  <c r="H145" i="209"/>
  <c r="M145" i="209" s="1"/>
  <c r="N145" i="209" s="1"/>
  <c r="E23" i="103"/>
  <c r="D25" i="103"/>
  <c r="G16" i="243"/>
  <c r="G226" i="236"/>
  <c r="G219" i="236"/>
  <c r="L206" i="236"/>
  <c r="G215" i="237"/>
  <c r="D66" i="238"/>
  <c r="H137" i="209"/>
  <c r="M137" i="209" s="1"/>
  <c r="N137" i="209" s="1"/>
  <c r="F40" i="232"/>
  <c r="E26" i="215"/>
  <c r="E32" i="30"/>
  <c r="F32" i="30" s="1"/>
  <c r="E33" i="215"/>
  <c r="G222" i="236"/>
  <c r="G216" i="236"/>
  <c r="G66" i="238"/>
  <c r="P50" i="202"/>
  <c r="G26" i="95"/>
  <c r="G43" i="10" s="1"/>
  <c r="G25" i="34"/>
  <c r="G36" i="190"/>
  <c r="E36" i="190"/>
  <c r="P13" i="193"/>
  <c r="F30" i="193"/>
  <c r="G30" i="193"/>
  <c r="H30" i="193"/>
  <c r="D24" i="244"/>
  <c r="E37" i="42"/>
  <c r="I20" i="8"/>
  <c r="C34" i="103"/>
  <c r="F45" i="233"/>
  <c r="D18" i="105"/>
  <c r="F206" i="237"/>
  <c r="G207" i="237"/>
  <c r="G206" i="237"/>
  <c r="F213" i="237"/>
  <c r="F207" i="237"/>
  <c r="F219" i="237"/>
  <c r="F218" i="237"/>
  <c r="F217" i="237"/>
  <c r="F220" i="237"/>
  <c r="G211" i="237"/>
  <c r="G209" i="237"/>
  <c r="F209" i="237"/>
  <c r="F211" i="237"/>
  <c r="F176" i="237"/>
  <c r="F180" i="237"/>
  <c r="F175" i="237"/>
  <c r="F178" i="237"/>
  <c r="F182" i="237"/>
  <c r="F177" i="237"/>
  <c r="F181" i="237"/>
  <c r="G177" i="237"/>
  <c r="G181" i="237"/>
  <c r="G176" i="237"/>
  <c r="G180" i="237"/>
  <c r="G175" i="237"/>
  <c r="G178" i="237"/>
  <c r="G182" i="237"/>
  <c r="G217" i="209"/>
  <c r="F147" i="209"/>
  <c r="G222" i="209"/>
  <c r="H186" i="209"/>
  <c r="M186" i="209" s="1"/>
  <c r="H177" i="209"/>
  <c r="M177" i="209" s="1"/>
  <c r="G215" i="209"/>
  <c r="H190" i="209"/>
  <c r="M190" i="209" s="1"/>
  <c r="M181" i="209"/>
  <c r="H195" i="209"/>
  <c r="M195" i="209" s="1"/>
  <c r="E112" i="209"/>
  <c r="E170" i="209"/>
  <c r="H196" i="209"/>
  <c r="M196" i="209" s="1"/>
  <c r="L223" i="209"/>
  <c r="G211" i="209"/>
  <c r="L210" i="209"/>
  <c r="H180" i="209"/>
  <c r="M180" i="209" s="1"/>
  <c r="H178" i="209"/>
  <c r="M178" i="209" s="1"/>
  <c r="M207" i="209"/>
  <c r="H191" i="209"/>
  <c r="M191" i="209" s="1"/>
  <c r="I24" i="243"/>
  <c r="L13" i="243"/>
  <c r="I20" i="99"/>
  <c r="G29" i="42"/>
  <c r="I28" i="35"/>
  <c r="D13" i="243"/>
  <c r="G13" i="243" s="1"/>
  <c r="M18" i="35"/>
  <c r="I21" i="8"/>
  <c r="D41" i="231"/>
  <c r="I24" i="99"/>
  <c r="I16" i="99"/>
  <c r="C27" i="103"/>
  <c r="G13" i="244"/>
  <c r="I23" i="8"/>
  <c r="H138" i="236"/>
  <c r="M138" i="236" s="1"/>
  <c r="N138" i="236" s="1"/>
  <c r="H157" i="236"/>
  <c r="M206" i="236"/>
  <c r="M210" i="236"/>
  <c r="G208" i="236"/>
  <c r="H130" i="236"/>
  <c r="M130" i="236" s="1"/>
  <c r="N130" i="236" s="1"/>
  <c r="H142" i="236"/>
  <c r="M142" i="236" s="1"/>
  <c r="N142" i="236" s="1"/>
  <c r="H126" i="236"/>
  <c r="M126" i="236" s="1"/>
  <c r="N126" i="236" s="1"/>
  <c r="H134" i="236"/>
  <c r="M134" i="236" s="1"/>
  <c r="N134" i="236" s="1"/>
  <c r="H151" i="236"/>
  <c r="L176" i="236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M119" i="236"/>
  <c r="H162" i="236"/>
  <c r="H164" i="236"/>
  <c r="G211" i="236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27" i="236"/>
  <c r="M127" i="236" s="1"/>
  <c r="N127" i="236" s="1"/>
  <c r="H156" i="236"/>
  <c r="H165" i="236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29" i="236"/>
  <c r="M129" i="236" s="1"/>
  <c r="N129" i="236" s="1"/>
  <c r="H125" i="236"/>
  <c r="M125" i="236" s="1"/>
  <c r="N125" i="236" s="1"/>
  <c r="H160" i="236"/>
  <c r="H153" i="236"/>
  <c r="H158" i="236"/>
  <c r="H163" i="236"/>
  <c r="E170" i="236"/>
  <c r="E112" i="236"/>
  <c r="H222" i="236"/>
  <c r="M222" i="236" s="1"/>
  <c r="H134" i="213"/>
  <c r="M134" i="213" s="1"/>
  <c r="N134" i="213" s="1"/>
  <c r="H156" i="213"/>
  <c r="M156" i="213" s="1"/>
  <c r="M116" i="213"/>
  <c r="H162" i="213"/>
  <c r="M162" i="213" s="1"/>
  <c r="H142" i="213"/>
  <c r="M142" i="213" s="1"/>
  <c r="N142" i="213" s="1"/>
  <c r="H137" i="213"/>
  <c r="M137" i="213" s="1"/>
  <c r="N137" i="213" s="1"/>
  <c r="H126" i="213"/>
  <c r="M126" i="213" s="1"/>
  <c r="N126" i="213" s="1"/>
  <c r="H159" i="213"/>
  <c r="M159" i="213" s="1"/>
  <c r="H138" i="213"/>
  <c r="M138" i="213" s="1"/>
  <c r="N138" i="213" s="1"/>
  <c r="H130" i="213"/>
  <c r="M130" i="213" s="1"/>
  <c r="N130" i="213" s="1"/>
  <c r="H122" i="213"/>
  <c r="M122" i="213" s="1"/>
  <c r="N122" i="213" s="1"/>
  <c r="H129" i="213"/>
  <c r="M129" i="213" s="1"/>
  <c r="N129" i="213" s="1"/>
  <c r="H154" i="213"/>
  <c r="M154" i="213" s="1"/>
  <c r="H158" i="213"/>
  <c r="M158" i="213" s="1"/>
  <c r="H151" i="213"/>
  <c r="M151" i="213" s="1"/>
  <c r="H147" i="213"/>
  <c r="M147" i="213" s="1"/>
  <c r="H136" i="213"/>
  <c r="M136" i="213" s="1"/>
  <c r="N136" i="213" s="1"/>
  <c r="H127" i="213"/>
  <c r="M127" i="213" s="1"/>
  <c r="N127" i="213" s="1"/>
  <c r="H133" i="213"/>
  <c r="M133" i="213" s="1"/>
  <c r="N133" i="213" s="1"/>
  <c r="H150" i="213"/>
  <c r="M150" i="213" s="1"/>
  <c r="H155" i="213"/>
  <c r="M155" i="213" s="1"/>
  <c r="H160" i="213"/>
  <c r="M160" i="213" s="1"/>
  <c r="H152" i="213"/>
  <c r="M152" i="213" s="1"/>
  <c r="H149" i="213"/>
  <c r="M149" i="213" s="1"/>
  <c r="H140" i="213"/>
  <c r="M140" i="213" s="1"/>
  <c r="N140" i="213" s="1"/>
  <c r="H132" i="213"/>
  <c r="M132" i="213" s="1"/>
  <c r="N132" i="213" s="1"/>
  <c r="H124" i="213"/>
  <c r="M124" i="213" s="1"/>
  <c r="N124" i="213" s="1"/>
  <c r="H125" i="213"/>
  <c r="M125" i="213" s="1"/>
  <c r="N125" i="213" s="1"/>
  <c r="H141" i="213"/>
  <c r="M141" i="213" s="1"/>
  <c r="N141" i="213" s="1"/>
  <c r="H153" i="213"/>
  <c r="M153" i="213" s="1"/>
  <c r="H161" i="213"/>
  <c r="M161" i="213" s="1"/>
  <c r="L213" i="213"/>
  <c r="M179" i="213"/>
  <c r="G228" i="213"/>
  <c r="L228" i="213" s="1"/>
  <c r="L223" i="213"/>
  <c r="L206" i="213"/>
  <c r="G200" i="213"/>
  <c r="L200" i="213" s="1"/>
  <c r="L222" i="213"/>
  <c r="E166" i="213"/>
  <c r="L224" i="213"/>
  <c r="L209" i="213"/>
  <c r="G185" i="209"/>
  <c r="G199" i="209"/>
  <c r="I20" i="30"/>
  <c r="I34" i="30" s="1"/>
  <c r="D34" i="30"/>
  <c r="D27" i="30"/>
  <c r="I20" i="215"/>
  <c r="I27" i="215" s="1"/>
  <c r="D27" i="215"/>
  <c r="D34" i="215"/>
  <c r="M223" i="213"/>
  <c r="H228" i="213"/>
  <c r="M228" i="213" s="1"/>
  <c r="F144" i="213"/>
  <c r="H215" i="209"/>
  <c r="M215" i="209" s="1"/>
  <c r="L179" i="207"/>
  <c r="F20" i="30"/>
  <c r="H163" i="209"/>
  <c r="H135" i="209"/>
  <c r="H226" i="209"/>
  <c r="M226" i="209" s="1"/>
  <c r="G219" i="209"/>
  <c r="H211" i="209"/>
  <c r="M211" i="209" s="1"/>
  <c r="G208" i="209"/>
  <c r="M174" i="213"/>
  <c r="H190" i="213"/>
  <c r="M190" i="213" s="1"/>
  <c r="H210" i="213"/>
  <c r="M210" i="213" s="1"/>
  <c r="H219" i="213"/>
  <c r="M219" i="213" s="1"/>
  <c r="L205" i="213"/>
  <c r="G219" i="213"/>
  <c r="G220" i="213"/>
  <c r="H193" i="213"/>
  <c r="M193" i="213" s="1"/>
  <c r="G218" i="213"/>
  <c r="H188" i="213"/>
  <c r="M188" i="213" s="1"/>
  <c r="G217" i="213"/>
  <c r="H194" i="213"/>
  <c r="M194" i="213" s="1"/>
  <c r="H187" i="213"/>
  <c r="M187" i="213" s="1"/>
  <c r="G216" i="213"/>
  <c r="G215" i="213"/>
  <c r="G214" i="213"/>
  <c r="E109" i="213"/>
  <c r="H189" i="213"/>
  <c r="M189" i="213" s="1"/>
  <c r="H181" i="213"/>
  <c r="M181" i="213" s="1"/>
  <c r="G212" i="213"/>
  <c r="G208" i="213"/>
  <c r="H186" i="213"/>
  <c r="M186" i="213" s="1"/>
  <c r="M223" i="207"/>
  <c r="M224" i="207"/>
  <c r="H156" i="207"/>
  <c r="M156" i="207" s="1"/>
  <c r="H162" i="207"/>
  <c r="M162" i="207" s="1"/>
  <c r="N128" i="207"/>
  <c r="H148" i="207"/>
  <c r="M148" i="207" s="1"/>
  <c r="H157" i="207"/>
  <c r="M157" i="207" s="1"/>
  <c r="I128" i="207"/>
  <c r="H147" i="207"/>
  <c r="M147" i="207" s="1"/>
  <c r="H149" i="207"/>
  <c r="M149" i="207" s="1"/>
  <c r="H151" i="207"/>
  <c r="M151" i="207" s="1"/>
  <c r="H152" i="207"/>
  <c r="M152" i="207" s="1"/>
  <c r="H158" i="207"/>
  <c r="M158" i="207" s="1"/>
  <c r="H160" i="207"/>
  <c r="M160" i="207" s="1"/>
  <c r="M206" i="207"/>
  <c r="M209" i="207"/>
  <c r="L206" i="207"/>
  <c r="E109" i="207"/>
  <c r="H168" i="207"/>
  <c r="M168" i="207" s="1"/>
  <c r="H142" i="207"/>
  <c r="M142" i="207" s="1"/>
  <c r="N142" i="207" s="1"/>
  <c r="H141" i="207"/>
  <c r="M141" i="207" s="1"/>
  <c r="N141" i="207" s="1"/>
  <c r="E166" i="207"/>
  <c r="H139" i="207"/>
  <c r="M139" i="207" s="1"/>
  <c r="N139" i="207" s="1"/>
  <c r="H125" i="207"/>
  <c r="M125" i="207" s="1"/>
  <c r="N125" i="207" s="1"/>
  <c r="G221" i="207"/>
  <c r="L175" i="207"/>
  <c r="G219" i="207"/>
  <c r="G215" i="207"/>
  <c r="G228" i="207"/>
  <c r="L228" i="207" s="1"/>
  <c r="G218" i="207"/>
  <c r="L213" i="207"/>
  <c r="L222" i="207"/>
  <c r="G217" i="207"/>
  <c r="G212" i="207"/>
  <c r="F41" i="231"/>
  <c r="P41" i="231" s="1"/>
  <c r="M191" i="207"/>
  <c r="G196" i="209"/>
  <c r="H220" i="236"/>
  <c r="M220" i="236" s="1"/>
  <c r="H138" i="207"/>
  <c r="M138" i="207" s="1"/>
  <c r="N138" i="207" s="1"/>
  <c r="G214" i="207"/>
  <c r="G190" i="209"/>
  <c r="H217" i="209"/>
  <c r="M217" i="209" s="1"/>
  <c r="M214" i="209"/>
  <c r="L206" i="209"/>
  <c r="G188" i="213"/>
  <c r="D50" i="238"/>
  <c r="M223" i="236"/>
  <c r="H217" i="236"/>
  <c r="M217" i="236" s="1"/>
  <c r="H208" i="236"/>
  <c r="M208" i="236" s="1"/>
  <c r="H131" i="207"/>
  <c r="M131" i="207" s="1"/>
  <c r="N131" i="207" s="1"/>
  <c r="M193" i="207"/>
  <c r="J32" i="30"/>
  <c r="J25" i="30"/>
  <c r="K25" i="30" s="1"/>
  <c r="M183" i="236"/>
  <c r="M180" i="236"/>
  <c r="L223" i="236"/>
  <c r="M184" i="207"/>
  <c r="M173" i="207"/>
  <c r="G210" i="207"/>
  <c r="F26" i="232"/>
  <c r="K26" i="232" s="1"/>
  <c r="E32" i="232"/>
  <c r="H166" i="209"/>
  <c r="H165" i="209"/>
  <c r="H159" i="209"/>
  <c r="H155" i="209"/>
  <c r="H138" i="209"/>
  <c r="H125" i="209"/>
  <c r="M125" i="209" s="1"/>
  <c r="G197" i="209"/>
  <c r="G192" i="209"/>
  <c r="G186" i="209"/>
  <c r="G183" i="209"/>
  <c r="G226" i="209"/>
  <c r="L224" i="209"/>
  <c r="G220" i="209"/>
  <c r="G213" i="209"/>
  <c r="H191" i="213"/>
  <c r="M191" i="213" s="1"/>
  <c r="H183" i="213"/>
  <c r="M183" i="213" s="1"/>
  <c r="G210" i="213"/>
  <c r="D23" i="102"/>
  <c r="H166" i="236"/>
  <c r="M189" i="207"/>
  <c r="M185" i="207"/>
  <c r="M181" i="207"/>
  <c r="M174" i="207"/>
  <c r="H143" i="209"/>
  <c r="H133" i="209"/>
  <c r="H188" i="209"/>
  <c r="M188" i="209" s="1"/>
  <c r="H184" i="209"/>
  <c r="M184" i="209" s="1"/>
  <c r="F34" i="231"/>
  <c r="P34" i="231" s="1"/>
  <c r="H120" i="236"/>
  <c r="M120" i="236" s="1"/>
  <c r="M176" i="236"/>
  <c r="G221" i="236"/>
  <c r="G218" i="236"/>
  <c r="G215" i="236"/>
  <c r="G209" i="236"/>
  <c r="L207" i="236"/>
  <c r="H228" i="207"/>
  <c r="M228" i="207" s="1"/>
  <c r="H122" i="207"/>
  <c r="M122" i="207" s="1"/>
  <c r="N122" i="207" s="1"/>
  <c r="M183" i="207"/>
  <c r="M176" i="207"/>
  <c r="H220" i="207"/>
  <c r="M220" i="207" s="1"/>
  <c r="H217" i="207"/>
  <c r="M217" i="207" s="1"/>
  <c r="H161" i="209"/>
  <c r="H152" i="209"/>
  <c r="H141" i="209"/>
  <c r="H130" i="209"/>
  <c r="M130" i="209" s="1"/>
  <c r="H192" i="209"/>
  <c r="M192" i="209" s="1"/>
  <c r="G187" i="209"/>
  <c r="L225" i="209"/>
  <c r="G221" i="209"/>
  <c r="G218" i="209"/>
  <c r="G216" i="209"/>
  <c r="H200" i="213"/>
  <c r="H192" i="213"/>
  <c r="M192" i="213" s="1"/>
  <c r="H185" i="213"/>
  <c r="M185" i="213" s="1"/>
  <c r="H221" i="213"/>
  <c r="G177" i="209"/>
  <c r="K39" i="231"/>
  <c r="Q39" i="231" s="1"/>
  <c r="H182" i="213"/>
  <c r="M182" i="213" s="1"/>
  <c r="H178" i="213"/>
  <c r="M178" i="213" s="1"/>
  <c r="H176" i="213"/>
  <c r="M176" i="213" s="1"/>
  <c r="H207" i="213"/>
  <c r="M207" i="213" s="1"/>
  <c r="H133" i="207"/>
  <c r="M133" i="207" s="1"/>
  <c r="N133" i="207" s="1"/>
  <c r="H175" i="213"/>
  <c r="M175" i="213" s="1"/>
  <c r="H130" i="207"/>
  <c r="M130" i="207" s="1"/>
  <c r="N130" i="207" s="1"/>
  <c r="F44" i="232"/>
  <c r="P44" i="232" s="1"/>
  <c r="H164" i="209"/>
  <c r="H162" i="209"/>
  <c r="H160" i="209"/>
  <c r="H158" i="209"/>
  <c r="H156" i="209"/>
  <c r="H154" i="209"/>
  <c r="H153" i="209"/>
  <c r="H151" i="209"/>
  <c r="H150" i="209"/>
  <c r="H144" i="209"/>
  <c r="H142" i="209"/>
  <c r="M142" i="209" s="1"/>
  <c r="N142" i="209" s="1"/>
  <c r="H139" i="209"/>
  <c r="H136" i="209"/>
  <c r="H134" i="209"/>
  <c r="H131" i="209"/>
  <c r="H197" i="209"/>
  <c r="H193" i="209"/>
  <c r="M193" i="209" s="1"/>
  <c r="H189" i="209"/>
  <c r="M189" i="209" s="1"/>
  <c r="H185" i="209"/>
  <c r="G180" i="209"/>
  <c r="H184" i="213"/>
  <c r="M184" i="213" s="1"/>
  <c r="H180" i="213"/>
  <c r="M180" i="213" s="1"/>
  <c r="H177" i="213"/>
  <c r="M177" i="213" s="1"/>
  <c r="F144" i="207"/>
  <c r="K31" i="34"/>
  <c r="I31" i="34"/>
  <c r="I22" i="8"/>
  <c r="I16" i="8"/>
  <c r="G124" i="10"/>
  <c r="H36" i="190"/>
  <c r="I21" i="99"/>
  <c r="I17" i="99"/>
  <c r="I18" i="99"/>
  <c r="C35" i="30"/>
  <c r="F29" i="42"/>
  <c r="F19" i="42"/>
  <c r="F22" i="42" s="1"/>
  <c r="G20" i="34"/>
  <c r="I17" i="8"/>
  <c r="J124" i="10"/>
  <c r="R30" i="39"/>
  <c r="P16" i="192"/>
  <c r="D36" i="190"/>
  <c r="Q33" i="39"/>
  <c r="C35" i="215"/>
  <c r="H18" i="105"/>
  <c r="G19" i="42"/>
  <c r="G22" i="42" s="1"/>
  <c r="E29" i="42"/>
  <c r="E20" i="103"/>
  <c r="G43" i="103"/>
  <c r="G37" i="42"/>
  <c r="E19" i="42"/>
  <c r="E22" i="42" s="1"/>
  <c r="F37" i="42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9" i="99"/>
  <c r="J37" i="42"/>
  <c r="H57" i="10" s="1"/>
  <c r="I23" i="99"/>
  <c r="E25" i="99"/>
  <c r="E33" i="99" s="1"/>
  <c r="I18" i="8"/>
  <c r="P50" i="214"/>
  <c r="H34" i="30" s="1"/>
  <c r="I22" i="244"/>
  <c r="I24" i="244" s="1"/>
  <c r="P44" i="216"/>
  <c r="H31" i="215" s="1"/>
  <c r="H127" i="209"/>
  <c r="H120" i="209"/>
  <c r="M120" i="209" s="1"/>
  <c r="H168" i="213"/>
  <c r="H128" i="209"/>
  <c r="H126" i="209"/>
  <c r="E27" i="30"/>
  <c r="E34" i="30"/>
  <c r="H221" i="236"/>
  <c r="H216" i="236"/>
  <c r="H209" i="236"/>
  <c r="M209" i="236" s="1"/>
  <c r="H221" i="207"/>
  <c r="H218" i="207"/>
  <c r="M218" i="207" s="1"/>
  <c r="F32" i="232"/>
  <c r="H216" i="209"/>
  <c r="H213" i="209"/>
  <c r="H220" i="213"/>
  <c r="E27" i="215"/>
  <c r="E34" i="215"/>
  <c r="G19" i="243"/>
  <c r="H219" i="236"/>
  <c r="H215" i="207"/>
  <c r="M215" i="207" s="1"/>
  <c r="H208" i="207"/>
  <c r="M208" i="207" s="1"/>
  <c r="G19" i="244"/>
  <c r="H216" i="207"/>
  <c r="M216" i="207" s="1"/>
  <c r="H212" i="207"/>
  <c r="M212" i="207" s="1"/>
  <c r="M205" i="207"/>
  <c r="F34" i="232"/>
  <c r="K34" i="232" s="1"/>
  <c r="K24" i="231"/>
  <c r="K22" i="232"/>
  <c r="L16" i="243"/>
  <c r="J32" i="231"/>
  <c r="L19" i="243"/>
  <c r="L19" i="244"/>
  <c r="E34" i="232"/>
  <c r="F216" i="237"/>
  <c r="G207" i="207"/>
  <c r="G207" i="213"/>
  <c r="F50" i="238"/>
  <c r="F214" i="237"/>
  <c r="L176" i="209"/>
  <c r="L173" i="207"/>
  <c r="G194" i="209"/>
  <c r="G188" i="209"/>
  <c r="G184" i="209"/>
  <c r="G178" i="209"/>
  <c r="L175" i="209"/>
  <c r="E24" i="232"/>
  <c r="P24" i="232" s="1"/>
  <c r="G195" i="209"/>
  <c r="G193" i="209"/>
  <c r="G191" i="209"/>
  <c r="G189" i="209"/>
  <c r="G182" i="209"/>
  <c r="G179" i="209"/>
  <c r="I26" i="215"/>
  <c r="K26" i="215" s="1"/>
  <c r="I33" i="215"/>
  <c r="G189" i="213"/>
  <c r="G175" i="213"/>
  <c r="L16" i="244"/>
  <c r="L40" i="51"/>
  <c r="L42" i="51" s="1"/>
  <c r="R66" i="10"/>
  <c r="R64" i="10"/>
  <c r="I50" i="100"/>
  <c r="K124" i="10"/>
  <c r="F147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E25" i="8"/>
  <c r="E33" i="8" s="1"/>
  <c r="G21" i="4" s="1"/>
  <c r="H41" i="10" s="1"/>
  <c r="I33" i="30"/>
  <c r="I26" i="30"/>
  <c r="K26" i="30" s="1"/>
  <c r="L37" i="42"/>
  <c r="G57" i="10" s="1"/>
  <c r="P48" i="214"/>
  <c r="H33" i="30" s="1"/>
  <c r="L13" i="244"/>
  <c r="K43" i="231"/>
  <c r="Q43" i="231" s="1"/>
  <c r="L130" i="209"/>
  <c r="L125" i="209"/>
  <c r="L120" i="209"/>
  <c r="E26" i="231"/>
  <c r="H218" i="236"/>
  <c r="M218" i="236" s="1"/>
  <c r="H215" i="236"/>
  <c r="H211" i="236"/>
  <c r="M207" i="236"/>
  <c r="H137" i="207"/>
  <c r="M137" i="207" s="1"/>
  <c r="N137" i="207" s="1"/>
  <c r="H134" i="207"/>
  <c r="M134" i="207" s="1"/>
  <c r="N134" i="207" s="1"/>
  <c r="H129" i="207"/>
  <c r="M129" i="207" s="1"/>
  <c r="N129" i="207" s="1"/>
  <c r="H126" i="207"/>
  <c r="M126" i="207" s="1"/>
  <c r="N126" i="207" s="1"/>
  <c r="H117" i="207"/>
  <c r="M117" i="207" s="1"/>
  <c r="N117" i="207" s="1"/>
  <c r="M116" i="207"/>
  <c r="I22" i="99"/>
  <c r="F45" i="231"/>
  <c r="H161" i="236"/>
  <c r="H159" i="236"/>
  <c r="H155" i="236"/>
  <c r="H154" i="236"/>
  <c r="H152" i="236"/>
  <c r="H135" i="207"/>
  <c r="M135" i="207" s="1"/>
  <c r="N135" i="207" s="1"/>
  <c r="H124" i="207"/>
  <c r="M124" i="207" s="1"/>
  <c r="N124" i="207" s="1"/>
  <c r="H127" i="207"/>
  <c r="M127" i="207" s="1"/>
  <c r="N127" i="207" s="1"/>
  <c r="H132" i="207"/>
  <c r="M132" i="207" s="1"/>
  <c r="N132" i="207" s="1"/>
  <c r="H136" i="207"/>
  <c r="M136" i="207" s="1"/>
  <c r="N136" i="207" s="1"/>
  <c r="H140" i="207"/>
  <c r="M140" i="207" s="1"/>
  <c r="N140" i="207" s="1"/>
  <c r="J27" i="215"/>
  <c r="J34" i="215"/>
  <c r="H123" i="207"/>
  <c r="M123" i="207" s="1"/>
  <c r="N123" i="207" s="1"/>
  <c r="G208" i="207"/>
  <c r="H207" i="207"/>
  <c r="L205" i="207"/>
  <c r="J32" i="215"/>
  <c r="H183" i="209"/>
  <c r="H182" i="209"/>
  <c r="H222" i="209"/>
  <c r="H209" i="209"/>
  <c r="H208" i="209"/>
  <c r="H148" i="213"/>
  <c r="H139" i="213"/>
  <c r="H131" i="213"/>
  <c r="H123" i="213"/>
  <c r="G194" i="213"/>
  <c r="G187" i="213"/>
  <c r="G186" i="213"/>
  <c r="G185" i="213"/>
  <c r="H208" i="213"/>
  <c r="G214" i="237"/>
  <c r="G218" i="237"/>
  <c r="G216" i="237"/>
  <c r="G220" i="237"/>
  <c r="M178" i="207"/>
  <c r="M222" i="207"/>
  <c r="G220" i="207"/>
  <c r="H219" i="207"/>
  <c r="G216" i="207"/>
  <c r="H214" i="207"/>
  <c r="M214" i="207" s="1"/>
  <c r="M213" i="207"/>
  <c r="H210" i="207"/>
  <c r="M210" i="207" s="1"/>
  <c r="H179" i="209"/>
  <c r="H221" i="209"/>
  <c r="H220" i="209"/>
  <c r="H219" i="209"/>
  <c r="H218" i="209"/>
  <c r="G193" i="213"/>
  <c r="G192" i="213"/>
  <c r="G191" i="213"/>
  <c r="G190" i="213"/>
  <c r="G184" i="213"/>
  <c r="G183" i="213"/>
  <c r="G182" i="213"/>
  <c r="G181" i="213"/>
  <c r="H218" i="213"/>
  <c r="F38" i="238"/>
  <c r="G38" i="238"/>
  <c r="K38" i="238"/>
  <c r="H157" i="213"/>
  <c r="H135" i="213"/>
  <c r="H128" i="213"/>
  <c r="G180" i="213"/>
  <c r="G178" i="213"/>
  <c r="G177" i="213"/>
  <c r="G176" i="213"/>
  <c r="M205" i="213"/>
  <c r="H212" i="213"/>
  <c r="H214" i="213"/>
  <c r="H215" i="213"/>
  <c r="H217" i="213"/>
  <c r="H216" i="213"/>
  <c r="F185" i="237"/>
  <c r="F189" i="237"/>
  <c r="F193" i="237"/>
  <c r="F186" i="237"/>
  <c r="F190" i="237"/>
  <c r="F194" i="237"/>
  <c r="F183" i="237"/>
  <c r="F187" i="237"/>
  <c r="F191" i="237"/>
  <c r="F184" i="237"/>
  <c r="F188" i="237"/>
  <c r="F192" i="237"/>
  <c r="M50" i="238"/>
  <c r="K37" i="238"/>
  <c r="I50" i="238"/>
  <c r="G37" i="238"/>
  <c r="E50" i="238"/>
  <c r="L37" i="238"/>
  <c r="K50" i="238"/>
  <c r="H37" i="238"/>
  <c r="D37" i="238"/>
  <c r="M30" i="39"/>
  <c r="N17" i="106" l="1"/>
  <c r="N21" i="106"/>
  <c r="N25" i="106"/>
  <c r="N18" i="106"/>
  <c r="N22" i="106"/>
  <c r="N26" i="106"/>
  <c r="N15" i="106"/>
  <c r="N19" i="106"/>
  <c r="N23" i="106"/>
  <c r="N16" i="106"/>
  <c r="N20" i="106"/>
  <c r="N24" i="106"/>
  <c r="M196" i="207"/>
  <c r="F33" i="215"/>
  <c r="F26" i="30"/>
  <c r="Q32" i="231"/>
  <c r="Q22" i="232"/>
  <c r="M194" i="207"/>
  <c r="P26" i="231"/>
  <c r="N116" i="207"/>
  <c r="M153" i="236"/>
  <c r="L177" i="236"/>
  <c r="K40" i="232"/>
  <c r="Q40" i="232" s="1"/>
  <c r="P40" i="232"/>
  <c r="M159" i="236"/>
  <c r="J32" i="232"/>
  <c r="P32" i="232"/>
  <c r="M160" i="236"/>
  <c r="M162" i="236"/>
  <c r="P32" i="231"/>
  <c r="M161" i="236"/>
  <c r="M163" i="236"/>
  <c r="J26" i="232"/>
  <c r="Q26" i="232" s="1"/>
  <c r="P26" i="232"/>
  <c r="M165" i="236"/>
  <c r="M164" i="236"/>
  <c r="P34" i="232"/>
  <c r="M156" i="236"/>
  <c r="M151" i="236"/>
  <c r="M157" i="236"/>
  <c r="K42" i="232"/>
  <c r="Q42" i="232" s="1"/>
  <c r="P42" i="232"/>
  <c r="M154" i="236"/>
  <c r="K45" i="231"/>
  <c r="Q45" i="231" s="1"/>
  <c r="P45" i="231"/>
  <c r="M163" i="209"/>
  <c r="M158" i="236"/>
  <c r="Q24" i="231"/>
  <c r="L210" i="207"/>
  <c r="L215" i="207"/>
  <c r="L221" i="207"/>
  <c r="L214" i="207"/>
  <c r="L212" i="207"/>
  <c r="G177" i="207"/>
  <c r="L217" i="207"/>
  <c r="L218" i="207"/>
  <c r="L219" i="207"/>
  <c r="L207" i="207"/>
  <c r="D33" i="193"/>
  <c r="E39" i="190"/>
  <c r="F39" i="190"/>
  <c r="G39" i="190"/>
  <c r="H39" i="190"/>
  <c r="I39" i="190"/>
  <c r="H33" i="193"/>
  <c r="G33" i="193"/>
  <c r="F33" i="193"/>
  <c r="E33" i="193"/>
  <c r="E230" i="236"/>
  <c r="E230" i="209"/>
  <c r="K32" i="30"/>
  <c r="F27" i="215"/>
  <c r="F26" i="215"/>
  <c r="H130" i="10"/>
  <c r="H128" i="10" s="1"/>
  <c r="G130" i="10"/>
  <c r="G128" i="10" s="1"/>
  <c r="D31" i="42"/>
  <c r="D41" i="42" s="1"/>
  <c r="D44" i="42" s="1"/>
  <c r="F27" i="30"/>
  <c r="I140" i="236"/>
  <c r="N130" i="209"/>
  <c r="L179" i="209"/>
  <c r="L218" i="209"/>
  <c r="L209" i="236"/>
  <c r="L221" i="236"/>
  <c r="L197" i="209"/>
  <c r="L190" i="209"/>
  <c r="L216" i="213"/>
  <c r="L208" i="209"/>
  <c r="L219" i="236"/>
  <c r="L182" i="209"/>
  <c r="L221" i="209"/>
  <c r="L213" i="209"/>
  <c r="L183" i="209"/>
  <c r="L208" i="213"/>
  <c r="L218" i="213"/>
  <c r="L208" i="236"/>
  <c r="L216" i="236"/>
  <c r="L226" i="236"/>
  <c r="L215" i="236"/>
  <c r="L220" i="209"/>
  <c r="L196" i="209"/>
  <c r="L212" i="213"/>
  <c r="L214" i="213"/>
  <c r="L219" i="209"/>
  <c r="L199" i="209"/>
  <c r="L211" i="236"/>
  <c r="L222" i="236"/>
  <c r="L217" i="236"/>
  <c r="L216" i="209"/>
  <c r="L218" i="236"/>
  <c r="L215" i="213"/>
  <c r="L217" i="213"/>
  <c r="L220" i="213"/>
  <c r="L185" i="209"/>
  <c r="L211" i="209"/>
  <c r="L215" i="209"/>
  <c r="L222" i="209"/>
  <c r="L217" i="209"/>
  <c r="J55" i="10"/>
  <c r="J58" i="10" s="1"/>
  <c r="J60" i="10" s="1"/>
  <c r="J62" i="10" s="1"/>
  <c r="G33" i="34"/>
  <c r="O30" i="39"/>
  <c r="I32" i="35"/>
  <c r="H42" i="35" s="1"/>
  <c r="I34" i="215"/>
  <c r="K34" i="215" s="1"/>
  <c r="G24" i="244"/>
  <c r="D23" i="137" s="1"/>
  <c r="F71" i="248"/>
  <c r="F73" i="248" s="1"/>
  <c r="J26" i="35"/>
  <c r="I24" i="34"/>
  <c r="I23" i="34"/>
  <c r="G31" i="42"/>
  <c r="G41" i="42" s="1"/>
  <c r="G44" i="42" s="1"/>
  <c r="G24" i="243"/>
  <c r="D23" i="3" s="1"/>
  <c r="H23" i="102"/>
  <c r="N58" i="10"/>
  <c r="N60" i="10" s="1"/>
  <c r="N62" i="10" s="1"/>
  <c r="M62" i="10"/>
  <c r="M66" i="10" s="1"/>
  <c r="E31" i="42"/>
  <c r="E41" i="42" s="1"/>
  <c r="E44" i="42" s="1"/>
  <c r="K55" i="10"/>
  <c r="K58" i="10" s="1"/>
  <c r="K60" i="10" s="1"/>
  <c r="K20" i="34"/>
  <c r="K39" i="35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25" i="99"/>
  <c r="I33" i="99" s="1"/>
  <c r="K33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6" i="236"/>
  <c r="I27" i="30"/>
  <c r="K27" i="30" s="1"/>
  <c r="F21" i="215"/>
  <c r="F31" i="42"/>
  <c r="F41" i="42" s="1"/>
  <c r="F44" i="42" s="1"/>
  <c r="I140" i="209"/>
  <c r="I129" i="209"/>
  <c r="I145" i="209"/>
  <c r="I137" i="209"/>
  <c r="E230" i="213"/>
  <c r="I130" i="213"/>
  <c r="C43" i="103"/>
  <c r="P15" i="44"/>
  <c r="D175" i="45" s="1"/>
  <c r="D155" i="51" s="1"/>
  <c r="D60" i="51"/>
  <c r="D50" i="51"/>
  <c r="E28" i="100"/>
  <c r="E27" i="100"/>
  <c r="F34" i="215"/>
  <c r="F34" i="30"/>
  <c r="F35" i="30" s="1"/>
  <c r="I126" i="236"/>
  <c r="E26" i="100"/>
  <c r="E56" i="100" s="1"/>
  <c r="E18" i="239"/>
  <c r="I18" i="239"/>
  <c r="K27" i="215"/>
  <c r="K20" i="215"/>
  <c r="I125" i="209"/>
  <c r="I143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I25" i="8"/>
  <c r="I33" i="8" s="1"/>
  <c r="K33" i="8" s="1"/>
  <c r="O19" i="35"/>
  <c r="O21" i="35"/>
  <c r="I55" i="100"/>
  <c r="J25" i="100"/>
  <c r="L224" i="236"/>
  <c r="I133" i="213"/>
  <c r="E25" i="103"/>
  <c r="E26" i="103"/>
  <c r="L225" i="236"/>
  <c r="M185" i="236"/>
  <c r="E24" i="103"/>
  <c r="N125" i="209"/>
  <c r="D24" i="243"/>
  <c r="L18" i="35"/>
  <c r="M19" i="35"/>
  <c r="N18" i="35"/>
  <c r="M21" i="35"/>
  <c r="I138" i="236"/>
  <c r="L210" i="236"/>
  <c r="I130" i="236"/>
  <c r="I134" i="236"/>
  <c r="I142" i="236"/>
  <c r="I127" i="236"/>
  <c r="I135" i="236"/>
  <c r="I144" i="236"/>
  <c r="I137" i="236"/>
  <c r="I145" i="236"/>
  <c r="I129" i="236"/>
  <c r="N147" i="236"/>
  <c r="I139" i="236"/>
  <c r="I133" i="236"/>
  <c r="I128" i="236"/>
  <c r="I131" i="236"/>
  <c r="I125" i="236"/>
  <c r="I141" i="236"/>
  <c r="I132" i="236"/>
  <c r="I141" i="213"/>
  <c r="I122" i="213"/>
  <c r="I137" i="213"/>
  <c r="I134" i="213"/>
  <c r="I127" i="213"/>
  <c r="I132" i="213"/>
  <c r="I126" i="213"/>
  <c r="I129" i="213"/>
  <c r="I142" i="213"/>
  <c r="I136" i="213"/>
  <c r="I138" i="213"/>
  <c r="I125" i="213"/>
  <c r="I140" i="213"/>
  <c r="I124" i="213"/>
  <c r="F21" i="30"/>
  <c r="L24" i="243"/>
  <c r="F23" i="3" s="1"/>
  <c r="K20" i="30"/>
  <c r="K21" i="30" s="1"/>
  <c r="E16" i="31" s="1"/>
  <c r="K34" i="30"/>
  <c r="M135" i="209"/>
  <c r="N135" i="209" s="1"/>
  <c r="I135" i="209"/>
  <c r="M209" i="213"/>
  <c r="L219" i="213"/>
  <c r="E230" i="207"/>
  <c r="L224" i="207"/>
  <c r="L223" i="207"/>
  <c r="L209" i="207"/>
  <c r="I125" i="207"/>
  <c r="I141" i="207"/>
  <c r="I142" i="207"/>
  <c r="I139" i="207"/>
  <c r="I133" i="207"/>
  <c r="I131" i="207"/>
  <c r="K41" i="231"/>
  <c r="Q41" i="231" s="1"/>
  <c r="G41" i="231"/>
  <c r="L188" i="213"/>
  <c r="I138" i="207"/>
  <c r="M161" i="209"/>
  <c r="M133" i="209"/>
  <c r="N133" i="209" s="1"/>
  <c r="I133" i="209"/>
  <c r="I130" i="209"/>
  <c r="L210" i="213"/>
  <c r="M222" i="213"/>
  <c r="L186" i="209"/>
  <c r="M138" i="209"/>
  <c r="N138" i="209" s="1"/>
  <c r="I138" i="209"/>
  <c r="M165" i="209"/>
  <c r="I130" i="207"/>
  <c r="M200" i="213"/>
  <c r="L187" i="209"/>
  <c r="M141" i="209"/>
  <c r="N141" i="209" s="1"/>
  <c r="I141" i="209"/>
  <c r="M143" i="209"/>
  <c r="N143" i="209" s="1"/>
  <c r="I143" i="209"/>
  <c r="L226" i="209"/>
  <c r="L192" i="209"/>
  <c r="M166" i="209"/>
  <c r="I166" i="209"/>
  <c r="M221" i="213"/>
  <c r="L207" i="209"/>
  <c r="L214" i="209"/>
  <c r="M152" i="209"/>
  <c r="I122" i="207"/>
  <c r="M155" i="209"/>
  <c r="M206" i="213"/>
  <c r="K34" i="231"/>
  <c r="Q34" i="231" s="1"/>
  <c r="M166" i="236"/>
  <c r="I166" i="236"/>
  <c r="M159" i="209"/>
  <c r="L180" i="209"/>
  <c r="M131" i="209"/>
  <c r="N131" i="209" s="1"/>
  <c r="I131" i="209"/>
  <c r="M153" i="209"/>
  <c r="M162" i="209"/>
  <c r="K44" i="232"/>
  <c r="Q44" i="232" s="1"/>
  <c r="I134" i="209"/>
  <c r="M134" i="209"/>
  <c r="N134" i="209" s="1"/>
  <c r="I144" i="209"/>
  <c r="M144" i="209"/>
  <c r="N144" i="209" s="1"/>
  <c r="M154" i="209"/>
  <c r="I142" i="209"/>
  <c r="M197" i="209"/>
  <c r="M136" i="209"/>
  <c r="N136" i="209" s="1"/>
  <c r="I136" i="209"/>
  <c r="M150" i="209"/>
  <c r="M158" i="209"/>
  <c r="M164" i="209"/>
  <c r="M185" i="209"/>
  <c r="M139" i="209"/>
  <c r="N139" i="209" s="1"/>
  <c r="I139" i="209"/>
  <c r="M151" i="209"/>
  <c r="M156" i="209"/>
  <c r="M160" i="209"/>
  <c r="L177" i="209"/>
  <c r="L22" i="244"/>
  <c r="L24" i="244" s="1"/>
  <c r="F23" i="137" s="1"/>
  <c r="P19" i="202"/>
  <c r="P44" i="202"/>
  <c r="K31" i="215"/>
  <c r="I126" i="209"/>
  <c r="M126" i="209"/>
  <c r="N126" i="209" s="1"/>
  <c r="I128" i="209"/>
  <c r="M128" i="209"/>
  <c r="N128" i="209" s="1"/>
  <c r="M168" i="213"/>
  <c r="M127" i="209"/>
  <c r="N127" i="209" s="1"/>
  <c r="I127" i="209"/>
  <c r="M220" i="213"/>
  <c r="M216" i="236"/>
  <c r="M226" i="236"/>
  <c r="M219" i="236"/>
  <c r="M213" i="209"/>
  <c r="K32" i="232"/>
  <c r="M213" i="213"/>
  <c r="M221" i="207"/>
  <c r="M221" i="236"/>
  <c r="M216" i="209"/>
  <c r="L207" i="213"/>
  <c r="J34" i="232"/>
  <c r="Q34" i="232" s="1"/>
  <c r="L189" i="209"/>
  <c r="J24" i="232"/>
  <c r="Q24" i="232" s="1"/>
  <c r="L178" i="209"/>
  <c r="L191" i="209"/>
  <c r="L181" i="209"/>
  <c r="L184" i="209"/>
  <c r="L193" i="209"/>
  <c r="L179" i="213"/>
  <c r="L188" i="209"/>
  <c r="L195" i="209"/>
  <c r="L194" i="209"/>
  <c r="L189" i="213"/>
  <c r="L174" i="213"/>
  <c r="L175" i="213"/>
  <c r="E29" i="37"/>
  <c r="E31" i="37" s="1"/>
  <c r="E34" i="37" s="1"/>
  <c r="G28" i="1" s="1"/>
  <c r="L178" i="213"/>
  <c r="L181" i="213"/>
  <c r="L190" i="213"/>
  <c r="M219" i="209"/>
  <c r="L220" i="207"/>
  <c r="M187" i="207"/>
  <c r="M148" i="213"/>
  <c r="M208" i="209"/>
  <c r="M223" i="209"/>
  <c r="M183" i="209"/>
  <c r="L208" i="207"/>
  <c r="M152" i="236"/>
  <c r="M155" i="236"/>
  <c r="M215" i="236"/>
  <c r="H35" i="30"/>
  <c r="K33" i="30"/>
  <c r="I134" i="207"/>
  <c r="I132" i="207"/>
  <c r="I127" i="207"/>
  <c r="J42" i="35"/>
  <c r="M216" i="213"/>
  <c r="M215" i="213"/>
  <c r="L180" i="213"/>
  <c r="M218" i="213"/>
  <c r="L182" i="213"/>
  <c r="L191" i="213"/>
  <c r="M220" i="209"/>
  <c r="L216" i="207"/>
  <c r="M208" i="213"/>
  <c r="L185" i="213"/>
  <c r="L194" i="213"/>
  <c r="M123" i="213"/>
  <c r="N123" i="213" s="1"/>
  <c r="I123" i="213"/>
  <c r="M209" i="209"/>
  <c r="M224" i="209"/>
  <c r="M214" i="236"/>
  <c r="I137" i="207"/>
  <c r="I136" i="207"/>
  <c r="M217" i="213"/>
  <c r="M214" i="213"/>
  <c r="L176" i="213"/>
  <c r="M128" i="213"/>
  <c r="N128" i="213" s="1"/>
  <c r="I128" i="213"/>
  <c r="M224" i="213"/>
  <c r="L183" i="213"/>
  <c r="L192" i="213"/>
  <c r="M221" i="209"/>
  <c r="L186" i="213"/>
  <c r="M131" i="213"/>
  <c r="N131" i="213" s="1"/>
  <c r="I131" i="213"/>
  <c r="M210" i="209"/>
  <c r="M225" i="209"/>
  <c r="M211" i="236"/>
  <c r="J26" i="231"/>
  <c r="Q26" i="231" s="1"/>
  <c r="H19" i="202"/>
  <c r="I123" i="207"/>
  <c r="I124" i="207"/>
  <c r="I140" i="207"/>
  <c r="I135" i="207"/>
  <c r="M212" i="213"/>
  <c r="L177" i="213"/>
  <c r="M135" i="213"/>
  <c r="N135" i="213" s="1"/>
  <c r="I135" i="213"/>
  <c r="M157" i="213"/>
  <c r="L184" i="213"/>
  <c r="L193" i="213"/>
  <c r="M218" i="209"/>
  <c r="M179" i="209"/>
  <c r="M219" i="207"/>
  <c r="L187" i="213"/>
  <c r="M139" i="213"/>
  <c r="N139" i="213" s="1"/>
  <c r="I139" i="213"/>
  <c r="M222" i="209"/>
  <c r="M182" i="209"/>
  <c r="M207" i="207"/>
  <c r="N144" i="207"/>
  <c r="I126" i="207"/>
  <c r="I129" i="207"/>
  <c r="N27" i="106" l="1"/>
  <c r="M15" i="106"/>
  <c r="F35" i="215"/>
  <c r="F28" i="30"/>
  <c r="F37" i="30" s="1"/>
  <c r="D22" i="3" s="1"/>
  <c r="L178" i="236"/>
  <c r="Q32" i="232"/>
  <c r="G22" i="95"/>
  <c r="G41" i="10" s="1"/>
  <c r="G178" i="207"/>
  <c r="L177" i="207"/>
  <c r="D39" i="190"/>
  <c r="F28" i="215"/>
  <c r="I46" i="35"/>
  <c r="K22" i="95"/>
  <c r="G72" i="10" s="1"/>
  <c r="T44" i="202"/>
  <c r="E29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I25" i="34"/>
  <c r="I33" i="34" s="1"/>
  <c r="K25" i="34"/>
  <c r="K33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D159" i="51" s="1"/>
  <c r="E27" i="103"/>
  <c r="E58" i="100"/>
  <c r="E57" i="100"/>
  <c r="P15" i="222"/>
  <c r="I27" i="103"/>
  <c r="M187" i="236"/>
  <c r="I56" i="100"/>
  <c r="N19" i="35"/>
  <c r="L19" i="35"/>
  <c r="I147" i="236"/>
  <c r="I147" i="209"/>
  <c r="N147" i="209"/>
  <c r="I144" i="207"/>
  <c r="L44" i="202"/>
  <c r="L19" i="202"/>
  <c r="I144" i="213"/>
  <c r="N144" i="213"/>
  <c r="H44" i="202"/>
  <c r="M16" i="106" l="1"/>
  <c r="M17" i="106" s="1"/>
  <c r="M18" i="106" s="1"/>
  <c r="M19" i="106" s="1"/>
  <c r="M20" i="106" s="1"/>
  <c r="M21" i="106" s="1"/>
  <c r="M22" i="106" s="1"/>
  <c r="M23" i="106" s="1"/>
  <c r="M24" i="106" s="1"/>
  <c r="M25" i="106" s="1"/>
  <c r="M26" i="106" s="1"/>
  <c r="D24" i="137" s="1"/>
  <c r="K21" i="4"/>
  <c r="F37" i="215"/>
  <c r="D22" i="137" s="1"/>
  <c r="L179" i="236"/>
  <c r="G180" i="207"/>
  <c r="L178" i="207"/>
  <c r="L64" i="10"/>
  <c r="I39" i="35"/>
  <c r="J35" i="35"/>
  <c r="K66" i="10"/>
  <c r="I45" i="233"/>
  <c r="K37" i="30"/>
  <c r="F22" i="3" s="1"/>
  <c r="K37" i="215"/>
  <c r="F22" i="137" s="1"/>
  <c r="Q22" i="41"/>
  <c r="I57" i="100"/>
  <c r="I58" i="100"/>
  <c r="M189" i="236"/>
  <c r="N37" i="42"/>
  <c r="M27" i="106" l="1"/>
  <c r="F24" i="137" s="1"/>
  <c r="L180" i="236"/>
  <c r="G181" i="207"/>
  <c r="L180" i="207"/>
  <c r="J45" i="233"/>
  <c r="M191" i="236"/>
  <c r="H72" i="10"/>
  <c r="P37" i="42"/>
  <c r="L181" i="236" l="1"/>
  <c r="L182" i="236"/>
  <c r="G182" i="207"/>
  <c r="L181" i="207"/>
  <c r="K45" i="233"/>
  <c r="M193" i="236"/>
  <c r="F120" i="236"/>
  <c r="I120" i="236" s="1"/>
  <c r="N120" i="236"/>
  <c r="L184" i="236" l="1"/>
  <c r="L183" i="236"/>
  <c r="G183" i="207"/>
  <c r="L182" i="207"/>
  <c r="L45" i="233"/>
  <c r="E22" i="239"/>
  <c r="M195" i="236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L186" i="236" l="1"/>
  <c r="L185" i="236"/>
  <c r="G184" i="207"/>
  <c r="L183" i="207"/>
  <c r="M45" i="233"/>
  <c r="M197" i="236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L188" i="236" l="1"/>
  <c r="L187" i="236"/>
  <c r="G185" i="207"/>
  <c r="L184" i="207"/>
  <c r="I24" i="239"/>
  <c r="N45" i="233"/>
  <c r="M199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O45" i="233" l="1"/>
  <c r="L190" i="236"/>
  <c r="L189" i="236"/>
  <c r="G186" i="207"/>
  <c r="L185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P45" i="233" l="1"/>
  <c r="D40" i="232" s="1"/>
  <c r="G40" i="232" s="1"/>
  <c r="L191" i="236"/>
  <c r="L192" i="236"/>
  <c r="G187" i="207"/>
  <c r="L186" i="207"/>
  <c r="Q45" i="233" l="1"/>
  <c r="I40" i="232" s="1"/>
  <c r="L40" i="232" s="1"/>
  <c r="L193" i="236"/>
  <c r="L194" i="236"/>
  <c r="G188" i="207"/>
  <c r="L187" i="207"/>
  <c r="N29" i="42"/>
  <c r="P29" i="42"/>
  <c r="L195" i="236" l="1"/>
  <c r="L196" i="236"/>
  <c r="G189" i="207"/>
  <c r="L188" i="207"/>
  <c r="R34" i="41"/>
  <c r="L197" i="236" l="1"/>
  <c r="G190" i="207"/>
  <c r="L189" i="207"/>
  <c r="R35" i="41"/>
  <c r="L199" i="236" l="1"/>
  <c r="G191" i="207"/>
  <c r="L190" i="207"/>
  <c r="R33" i="41"/>
  <c r="F119" i="236"/>
  <c r="D122" i="236"/>
  <c r="G192" i="207" l="1"/>
  <c r="L191" i="207"/>
  <c r="K122" i="236"/>
  <c r="N119" i="236"/>
  <c r="N122" i="236" s="1"/>
  <c r="F122" i="236"/>
  <c r="I119" i="236"/>
  <c r="I122" i="236" s="1"/>
  <c r="G193" i="207" l="1"/>
  <c r="G195" i="207" s="1"/>
  <c r="L192" i="207"/>
  <c r="R36" i="41"/>
  <c r="R22" i="41"/>
  <c r="I195" i="207" l="1"/>
  <c r="L195" i="207"/>
  <c r="N195" i="207" s="1"/>
  <c r="G194" i="207"/>
  <c r="L193" i="207"/>
  <c r="N22" i="42"/>
  <c r="N31" i="42" s="1"/>
  <c r="N41" i="42" s="1"/>
  <c r="N44" i="42" s="1"/>
  <c r="G196" i="207" l="1"/>
  <c r="L194" i="207"/>
  <c r="F120" i="209"/>
  <c r="I120" i="209" s="1"/>
  <c r="N120" i="209"/>
  <c r="G200" i="207" l="1"/>
  <c r="L200" i="207" s="1"/>
  <c r="L196" i="207"/>
  <c r="D120" i="237" l="1"/>
  <c r="D122" i="209"/>
  <c r="F119" i="209"/>
  <c r="K122" i="209" l="1"/>
  <c r="N119" i="209"/>
  <c r="N122" i="209" s="1"/>
  <c r="I119" i="209"/>
  <c r="I122" i="209" s="1"/>
  <c r="F122" i="209"/>
  <c r="J27" i="42" l="1"/>
  <c r="D26" i="46"/>
  <c r="D20" i="47" l="1"/>
  <c r="F75" i="207" l="1"/>
  <c r="I75" i="207" s="1"/>
  <c r="F88" i="207"/>
  <c r="I88" i="207" s="1"/>
  <c r="F104" i="207" l="1"/>
  <c r="I104" i="207" s="1"/>
  <c r="F90" i="207"/>
  <c r="I90" i="207" s="1"/>
  <c r="F74" i="207"/>
  <c r="I74" i="207" s="1"/>
  <c r="F95" i="207"/>
  <c r="I95" i="207" s="1"/>
  <c r="F97" i="207"/>
  <c r="I97" i="207" s="1"/>
  <c r="F30" i="207"/>
  <c r="I30" i="207" s="1"/>
  <c r="F23" i="207"/>
  <c r="I23" i="207" s="1"/>
  <c r="F100" i="207"/>
  <c r="I100" i="207" s="1"/>
  <c r="F22" i="207"/>
  <c r="I22" i="207" s="1"/>
  <c r="F160" i="207"/>
  <c r="I160" i="207" s="1"/>
  <c r="F72" i="207"/>
  <c r="I72" i="207" s="1"/>
  <c r="N88" i="207"/>
  <c r="F92" i="207"/>
  <c r="I92" i="207" s="1"/>
  <c r="N75" i="207" l="1"/>
  <c r="F17" i="207"/>
  <c r="I17" i="207" s="1"/>
  <c r="F73" i="207"/>
  <c r="I73" i="207" s="1"/>
  <c r="F105" i="207"/>
  <c r="I105" i="207" s="1"/>
  <c r="F81" i="207"/>
  <c r="I81" i="207" s="1"/>
  <c r="F151" i="207"/>
  <c r="I151" i="207" s="1"/>
  <c r="F94" i="207"/>
  <c r="I94" i="207" s="1"/>
  <c r="F91" i="207"/>
  <c r="I91" i="207" s="1"/>
  <c r="N160" i="207"/>
  <c r="N30" i="207"/>
  <c r="N104" i="207"/>
  <c r="N22" i="207"/>
  <c r="N23" i="207"/>
  <c r="N97" i="207"/>
  <c r="N90" i="207"/>
  <c r="F99" i="207"/>
  <c r="I99" i="207" s="1"/>
  <c r="N100" i="207"/>
  <c r="N95" i="207"/>
  <c r="F76" i="207"/>
  <c r="I76" i="207" s="1"/>
  <c r="F96" i="207"/>
  <c r="I96" i="207" s="1"/>
  <c r="F93" i="207"/>
  <c r="I93" i="207" s="1"/>
  <c r="F98" i="207"/>
  <c r="I98" i="207" s="1"/>
  <c r="F78" i="207"/>
  <c r="I78" i="207" s="1"/>
  <c r="F80" i="207"/>
  <c r="I80" i="207" s="1"/>
  <c r="F103" i="207"/>
  <c r="I103" i="207" s="1"/>
  <c r="F101" i="207"/>
  <c r="I101" i="207" s="1"/>
  <c r="F24" i="207"/>
  <c r="I24" i="207" s="1"/>
  <c r="F71" i="207"/>
  <c r="I71" i="207" s="1"/>
  <c r="F154" i="207"/>
  <c r="I154" i="207" s="1"/>
  <c r="N92" i="207"/>
  <c r="F77" i="207"/>
  <c r="I77" i="207" s="1"/>
  <c r="N74" i="207" l="1"/>
  <c r="N72" i="207"/>
  <c r="F147" i="207"/>
  <c r="F29" i="207"/>
  <c r="N17" i="207"/>
  <c r="N151" i="207"/>
  <c r="N105" i="207"/>
  <c r="N101" i="207"/>
  <c r="N94" i="207"/>
  <c r="N91" i="207"/>
  <c r="N98" i="207"/>
  <c r="N93" i="207"/>
  <c r="N103" i="207"/>
  <c r="N96" i="207"/>
  <c r="N99" i="207"/>
  <c r="N24" i="207"/>
  <c r="F89" i="207"/>
  <c r="I89" i="207" s="1"/>
  <c r="F51" i="207"/>
  <c r="I51" i="207" s="1"/>
  <c r="F56" i="207"/>
  <c r="I56" i="207" s="1"/>
  <c r="F39" i="207"/>
  <c r="I39" i="207" s="1"/>
  <c r="F87" i="207"/>
  <c r="I87" i="207" s="1"/>
  <c r="F68" i="207"/>
  <c r="I68" i="207" s="1"/>
  <c r="F31" i="207"/>
  <c r="I31" i="207" s="1"/>
  <c r="F64" i="207"/>
  <c r="I64" i="207" s="1"/>
  <c r="N154" i="207"/>
  <c r="N87" i="207"/>
  <c r="N77" i="207" l="1"/>
  <c r="N78" i="207"/>
  <c r="N71" i="207"/>
  <c r="N80" i="207"/>
  <c r="N73" i="207"/>
  <c r="N81" i="207"/>
  <c r="N76" i="207"/>
  <c r="N147" i="207"/>
  <c r="I29" i="207"/>
  <c r="F16" i="207"/>
  <c r="D19" i="207"/>
  <c r="N29" i="207"/>
  <c r="I147" i="207"/>
  <c r="N51" i="207"/>
  <c r="N56" i="207"/>
  <c r="N89" i="207"/>
  <c r="N39" i="207"/>
  <c r="F52" i="207"/>
  <c r="I52" i="207" s="1"/>
  <c r="F34" i="207"/>
  <c r="I34" i="207" s="1"/>
  <c r="F44" i="207"/>
  <c r="I44" i="207" s="1"/>
  <c r="F63" i="207"/>
  <c r="I63" i="207" s="1"/>
  <c r="F42" i="207"/>
  <c r="I42" i="207" s="1"/>
  <c r="F35" i="207"/>
  <c r="I35" i="207" s="1"/>
  <c r="F67" i="207"/>
  <c r="I67" i="207" s="1"/>
  <c r="N31" i="207"/>
  <c r="F55" i="207"/>
  <c r="I55" i="207" s="1"/>
  <c r="N64" i="207" l="1"/>
  <c r="N68" i="207"/>
  <c r="F116" i="207"/>
  <c r="I16" i="207"/>
  <c r="I19" i="207" s="1"/>
  <c r="F19" i="207"/>
  <c r="K19" i="207"/>
  <c r="N16" i="207"/>
  <c r="N19" i="207" s="1"/>
  <c r="N35" i="207"/>
  <c r="N42" i="207"/>
  <c r="F70" i="207"/>
  <c r="I70" i="207" s="1"/>
  <c r="F157" i="207"/>
  <c r="I157" i="207" s="1"/>
  <c r="F156" i="207"/>
  <c r="I156" i="207" s="1"/>
  <c r="N52" i="207"/>
  <c r="N34" i="207"/>
  <c r="N44" i="207"/>
  <c r="F37" i="207"/>
  <c r="I37" i="207" s="1"/>
  <c r="F38" i="207"/>
  <c r="I38" i="207" s="1"/>
  <c r="F43" i="207"/>
  <c r="I43" i="207" s="1"/>
  <c r="N55" i="207"/>
  <c r="F66" i="207"/>
  <c r="I66" i="207" s="1"/>
  <c r="F158" i="207"/>
  <c r="I158" i="207" s="1"/>
  <c r="N63" i="207" l="1"/>
  <c r="N70" i="207"/>
  <c r="N67" i="207"/>
  <c r="F50" i="207"/>
  <c r="I116" i="207"/>
  <c r="N37" i="207"/>
  <c r="N157" i="207"/>
  <c r="F153" i="207"/>
  <c r="I153" i="207" s="1"/>
  <c r="F162" i="207"/>
  <c r="I162" i="207" s="1"/>
  <c r="N156" i="207"/>
  <c r="F69" i="207"/>
  <c r="I69" i="207" s="1"/>
  <c r="F152" i="207"/>
  <c r="I152" i="207" s="1"/>
  <c r="F41" i="207"/>
  <c r="I41" i="207" s="1"/>
  <c r="N38" i="207"/>
  <c r="N158" i="207"/>
  <c r="F79" i="207"/>
  <c r="I79" i="207" s="1"/>
  <c r="F54" i="207"/>
  <c r="I54" i="207" s="1"/>
  <c r="N43" i="207"/>
  <c r="F57" i="207"/>
  <c r="I57" i="207" s="1"/>
  <c r="F33" i="207"/>
  <c r="I33" i="207" s="1"/>
  <c r="F155" i="207"/>
  <c r="I155" i="207" s="1"/>
  <c r="F161" i="207"/>
  <c r="I161" i="207" s="1"/>
  <c r="N69" i="207" l="1"/>
  <c r="N66" i="207"/>
  <c r="F32" i="207"/>
  <c r="F117" i="207"/>
  <c r="D119" i="207"/>
  <c r="F148" i="207"/>
  <c r="N50" i="207"/>
  <c r="F62" i="207"/>
  <c r="I50" i="207"/>
  <c r="D26" i="207"/>
  <c r="N162" i="207"/>
  <c r="N153" i="207"/>
  <c r="N41" i="207"/>
  <c r="N152" i="207"/>
  <c r="N155" i="207"/>
  <c r="N33" i="207"/>
  <c r="N57" i="207"/>
  <c r="N161" i="207"/>
  <c r="F45" i="207"/>
  <c r="I45" i="207" s="1"/>
  <c r="N54" i="207"/>
  <c r="F40" i="207"/>
  <c r="I40" i="207" s="1"/>
  <c r="F36" i="207"/>
  <c r="I36" i="207" s="1"/>
  <c r="F65" i="207"/>
  <c r="I65" i="207" s="1"/>
  <c r="F149" i="207"/>
  <c r="I149" i="207" s="1"/>
  <c r="F150" i="207"/>
  <c r="I150" i="207" s="1"/>
  <c r="N79" i="207" l="1"/>
  <c r="N148" i="207"/>
  <c r="I26" i="207"/>
  <c r="H18" i="10" s="1"/>
  <c r="F26" i="207"/>
  <c r="D83" i="207"/>
  <c r="N119" i="207"/>
  <c r="K119" i="207"/>
  <c r="F83" i="207"/>
  <c r="I62" i="207"/>
  <c r="I83" i="207" s="1"/>
  <c r="H21" i="10" s="1"/>
  <c r="I148" i="207"/>
  <c r="N32" i="207"/>
  <c r="D47" i="207"/>
  <c r="N26" i="207"/>
  <c r="K26" i="207"/>
  <c r="N62" i="207"/>
  <c r="F86" i="207"/>
  <c r="F53" i="207"/>
  <c r="D59" i="207"/>
  <c r="I117" i="207"/>
  <c r="I119" i="207" s="1"/>
  <c r="F119" i="207"/>
  <c r="I32" i="207"/>
  <c r="I47" i="207" s="1"/>
  <c r="H19" i="10" s="1"/>
  <c r="F47" i="207"/>
  <c r="F159" i="207"/>
  <c r="I159" i="207" s="1"/>
  <c r="N149" i="207"/>
  <c r="N36" i="207"/>
  <c r="N45" i="207"/>
  <c r="N40" i="207"/>
  <c r="N150" i="207"/>
  <c r="F102" i="207"/>
  <c r="I102" i="207" s="1"/>
  <c r="N65" i="207" l="1"/>
  <c r="N83" i="207" s="1"/>
  <c r="I164" i="207"/>
  <c r="I166" i="207" s="1"/>
  <c r="N86" i="207"/>
  <c r="H17" i="10"/>
  <c r="K83" i="207"/>
  <c r="N47" i="207"/>
  <c r="D164" i="207"/>
  <c r="D166" i="207" s="1"/>
  <c r="I53" i="207"/>
  <c r="I59" i="207" s="1"/>
  <c r="H20" i="10" s="1"/>
  <c r="F59" i="207"/>
  <c r="F164" i="207"/>
  <c r="F166" i="207" s="1"/>
  <c r="N53" i="207"/>
  <c r="N59" i="207" s="1"/>
  <c r="K59" i="207"/>
  <c r="D107" i="207"/>
  <c r="D109" i="207" s="1"/>
  <c r="F107" i="207"/>
  <c r="I86" i="207"/>
  <c r="I107" i="207" s="1"/>
  <c r="K47" i="207"/>
  <c r="N159" i="207"/>
  <c r="N164" i="207" s="1"/>
  <c r="N166" i="207" s="1"/>
  <c r="F109" i="207" l="1"/>
  <c r="I109" i="207"/>
  <c r="K164" i="207"/>
  <c r="K166" i="207" s="1"/>
  <c r="N102" i="207" l="1"/>
  <c r="N107" i="207" s="1"/>
  <c r="N109" i="207" s="1"/>
  <c r="K107" i="207"/>
  <c r="K109" i="207" s="1"/>
  <c r="F116" i="213" l="1"/>
  <c r="N116" i="213" l="1"/>
  <c r="I116" i="213"/>
  <c r="F160" i="213"/>
  <c r="I160" i="213" s="1"/>
  <c r="N160" i="213" l="1"/>
  <c r="F151" i="213" l="1"/>
  <c r="I151" i="213" s="1"/>
  <c r="N151" i="213"/>
  <c r="F154" i="213" l="1"/>
  <c r="I154" i="213" s="1"/>
  <c r="N154" i="213"/>
  <c r="F147" i="213" l="1"/>
  <c r="I147" i="213" l="1"/>
  <c r="N147" i="213"/>
  <c r="F150" i="213" l="1"/>
  <c r="I150" i="213" s="1"/>
  <c r="F156" i="213" l="1"/>
  <c r="I156" i="213" s="1"/>
  <c r="F157" i="213"/>
  <c r="I157" i="213" s="1"/>
  <c r="N150" i="213"/>
  <c r="N157" i="213" l="1"/>
  <c r="N156" i="213"/>
  <c r="F158" i="213"/>
  <c r="I158" i="213" s="1"/>
  <c r="F155" i="213"/>
  <c r="I155" i="213" s="1"/>
  <c r="F152" i="213"/>
  <c r="I152" i="213" s="1"/>
  <c r="F117" i="213" l="1"/>
  <c r="N155" i="213"/>
  <c r="N158" i="213"/>
  <c r="F149" i="213"/>
  <c r="I149" i="213" s="1"/>
  <c r="N152" i="213"/>
  <c r="N117" i="213" l="1"/>
  <c r="N119" i="213" s="1"/>
  <c r="K119" i="213"/>
  <c r="I117" i="213"/>
  <c r="I119" i="213" s="1"/>
  <c r="F119" i="213"/>
  <c r="N149" i="213"/>
  <c r="F162" i="213" l="1"/>
  <c r="I162" i="213" s="1"/>
  <c r="F161" i="213"/>
  <c r="I161" i="213" s="1"/>
  <c r="F148" i="213" l="1"/>
  <c r="N162" i="213"/>
  <c r="F153" i="213"/>
  <c r="I153" i="213" s="1"/>
  <c r="N161" i="213"/>
  <c r="F159" i="213"/>
  <c r="I159" i="213" s="1"/>
  <c r="D164" i="213" l="1"/>
  <c r="D166" i="213" s="1"/>
  <c r="N148" i="213"/>
  <c r="I148" i="213"/>
  <c r="I164" i="213" s="1"/>
  <c r="F164" i="213"/>
  <c r="F166" i="213" s="1"/>
  <c r="N153" i="213"/>
  <c r="N159" i="213"/>
  <c r="I166" i="213" l="1"/>
  <c r="K164" i="213"/>
  <c r="K166" i="213" s="1"/>
  <c r="N164" i="213"/>
  <c r="N166" i="213" s="1"/>
  <c r="F223" i="207" l="1"/>
  <c r="I223" i="207" s="1"/>
  <c r="F224" i="207"/>
  <c r="I224" i="207" s="1"/>
  <c r="F210" i="207"/>
  <c r="I210" i="207" s="1"/>
  <c r="F214" i="207"/>
  <c r="I214" i="207" s="1"/>
  <c r="N224" i="207" l="1"/>
  <c r="N223" i="207"/>
  <c r="N214" i="207"/>
  <c r="N210" i="207"/>
  <c r="F208" i="207" l="1"/>
  <c r="I208" i="207" s="1"/>
  <c r="N208" i="207" l="1"/>
  <c r="F213" i="207"/>
  <c r="I213" i="207" s="1"/>
  <c r="F205" i="207" l="1"/>
  <c r="I205" i="207" s="1"/>
  <c r="F215" i="207" l="1"/>
  <c r="I215" i="207" s="1"/>
  <c r="N205" i="207"/>
  <c r="N213" i="207"/>
  <c r="F222" i="207"/>
  <c r="I222" i="207" s="1"/>
  <c r="F206" i="207"/>
  <c r="I206" i="207" s="1"/>
  <c r="F207" i="207"/>
  <c r="I207" i="207" s="1"/>
  <c r="F209" i="207"/>
  <c r="I209" i="207" s="1"/>
  <c r="N215" i="207" l="1"/>
  <c r="N207" i="207" l="1"/>
  <c r="N222" i="207"/>
  <c r="N209" i="207"/>
  <c r="N206" i="207"/>
  <c r="F224" i="213" l="1"/>
  <c r="I224" i="213" s="1"/>
  <c r="N224" i="213" l="1"/>
  <c r="F214" i="213" l="1"/>
  <c r="I214" i="213" s="1"/>
  <c r="N214" i="213" l="1"/>
  <c r="F210" i="213"/>
  <c r="I210" i="213" s="1"/>
  <c r="N210" i="213" l="1"/>
  <c r="F205" i="213"/>
  <c r="I205" i="213" s="1"/>
  <c r="N205" i="213" l="1"/>
  <c r="F208" i="213" l="1"/>
  <c r="I208" i="213" s="1"/>
  <c r="F223" i="213"/>
  <c r="I223" i="213" s="1"/>
  <c r="N208" i="213" l="1"/>
  <c r="N223" i="213"/>
  <c r="F215" i="213" l="1"/>
  <c r="I215" i="213" s="1"/>
  <c r="N215" i="213" l="1"/>
  <c r="F213" i="213" l="1"/>
  <c r="I213" i="213" s="1"/>
  <c r="N213" i="213" l="1"/>
  <c r="F222" i="213"/>
  <c r="I222" i="213" s="1"/>
  <c r="N222" i="213" l="1"/>
  <c r="F209" i="213" l="1"/>
  <c r="I209" i="213" s="1"/>
  <c r="F207" i="213"/>
  <c r="I207" i="213" s="1"/>
  <c r="F206" i="213" l="1"/>
  <c r="N209" i="213"/>
  <c r="N207" i="213"/>
  <c r="N206" i="213" l="1"/>
  <c r="I206" i="213"/>
  <c r="F181" i="207" l="1"/>
  <c r="I181" i="207" s="1"/>
  <c r="F186" i="207"/>
  <c r="I186" i="207" s="1"/>
  <c r="N186" i="207" l="1"/>
  <c r="N181" i="207"/>
  <c r="F194" i="207"/>
  <c r="I194" i="207" s="1"/>
  <c r="F175" i="207"/>
  <c r="I175" i="207" s="1"/>
  <c r="F188" i="207"/>
  <c r="I188" i="207" s="1"/>
  <c r="F174" i="207"/>
  <c r="I174" i="207" s="1"/>
  <c r="F193" i="207"/>
  <c r="I193" i="207" s="1"/>
  <c r="F189" i="207"/>
  <c r="I189" i="207" s="1"/>
  <c r="F183" i="207"/>
  <c r="I183" i="207" s="1"/>
  <c r="F173" i="207" l="1"/>
  <c r="F185" i="207"/>
  <c r="I185" i="207" s="1"/>
  <c r="F177" i="207"/>
  <c r="I177" i="207" s="1"/>
  <c r="F182" i="207"/>
  <c r="I182" i="207" s="1"/>
  <c r="F180" i="207"/>
  <c r="I180" i="207" s="1"/>
  <c r="F196" i="207"/>
  <c r="I196" i="207" s="1"/>
  <c r="F176" i="207"/>
  <c r="I176" i="207" s="1"/>
  <c r="N183" i="207"/>
  <c r="N175" i="207"/>
  <c r="N194" i="207"/>
  <c r="F187" i="207"/>
  <c r="I187" i="207" s="1"/>
  <c r="N193" i="207"/>
  <c r="N188" i="207"/>
  <c r="N182" i="207"/>
  <c r="F192" i="207"/>
  <c r="I192" i="207" s="1"/>
  <c r="N174" i="207"/>
  <c r="F190" i="207"/>
  <c r="I190" i="207" s="1"/>
  <c r="F191" i="207"/>
  <c r="I191" i="207" s="1"/>
  <c r="F179" i="207"/>
  <c r="I179" i="207" s="1"/>
  <c r="N177" i="207"/>
  <c r="F184" i="207"/>
  <c r="I184" i="207" s="1"/>
  <c r="F178" i="207"/>
  <c r="I178" i="207" s="1"/>
  <c r="N189" i="207"/>
  <c r="D198" i="207" l="1"/>
  <c r="N173" i="207"/>
  <c r="I173" i="207"/>
  <c r="I198" i="207" s="1"/>
  <c r="F198" i="207"/>
  <c r="N180" i="207"/>
  <c r="N176" i="207"/>
  <c r="N196" i="207"/>
  <c r="N185" i="207"/>
  <c r="N187" i="207"/>
  <c r="N178" i="207"/>
  <c r="N179" i="207"/>
  <c r="N184" i="207"/>
  <c r="N191" i="207"/>
  <c r="N190" i="207"/>
  <c r="N192" i="207"/>
  <c r="K198" i="207" l="1"/>
  <c r="N198" i="207"/>
  <c r="F173" i="213" l="1"/>
  <c r="F181" i="213"/>
  <c r="I181" i="213" s="1"/>
  <c r="F175" i="213"/>
  <c r="I175" i="213" s="1"/>
  <c r="F174" i="213"/>
  <c r="I174" i="213" s="1"/>
  <c r="N173" i="213" l="1"/>
  <c r="I173" i="213"/>
  <c r="F179" i="213"/>
  <c r="I179" i="213" s="1"/>
  <c r="F184" i="213"/>
  <c r="I184" i="213" s="1"/>
  <c r="N174" i="213"/>
  <c r="N175" i="213"/>
  <c r="N181" i="213"/>
  <c r="F180" i="213"/>
  <c r="I180" i="213" s="1"/>
  <c r="F190" i="213"/>
  <c r="I190" i="213" s="1"/>
  <c r="N184" i="213" l="1"/>
  <c r="N179" i="213"/>
  <c r="F193" i="213"/>
  <c r="I193" i="213" s="1"/>
  <c r="N190" i="213"/>
  <c r="N180" i="213"/>
  <c r="F183" i="213"/>
  <c r="I183" i="213" s="1"/>
  <c r="F176" i="213" l="1"/>
  <c r="N193" i="213"/>
  <c r="F186" i="213"/>
  <c r="I186" i="213" s="1"/>
  <c r="F194" i="213"/>
  <c r="I194" i="213" s="1"/>
  <c r="N183" i="213"/>
  <c r="F188" i="213"/>
  <c r="I188" i="213" s="1"/>
  <c r="F177" i="213"/>
  <c r="I177" i="213" s="1"/>
  <c r="N176" i="213" l="1"/>
  <c r="I176" i="213"/>
  <c r="N194" i="213"/>
  <c r="N186" i="213"/>
  <c r="F189" i="213"/>
  <c r="I189" i="213" s="1"/>
  <c r="N177" i="213"/>
  <c r="F182" i="213"/>
  <c r="I182" i="213" s="1"/>
  <c r="N188" i="213"/>
  <c r="F192" i="213"/>
  <c r="I192" i="213" s="1"/>
  <c r="F178" i="213"/>
  <c r="I178" i="213" s="1"/>
  <c r="F185" i="213" l="1"/>
  <c r="I185" i="213" s="1"/>
  <c r="F191" i="213"/>
  <c r="I191" i="213" s="1"/>
  <c r="N189" i="213"/>
  <c r="N178" i="213"/>
  <c r="N192" i="213"/>
  <c r="N182" i="213"/>
  <c r="N191" i="213" l="1"/>
  <c r="N185" i="213"/>
  <c r="F187" i="213" l="1"/>
  <c r="D198" i="213"/>
  <c r="N187" i="213" l="1"/>
  <c r="N198" i="213" s="1"/>
  <c r="K198" i="213"/>
  <c r="I187" i="213"/>
  <c r="I198" i="213" s="1"/>
  <c r="F198" i="213"/>
  <c r="F220" i="207" l="1"/>
  <c r="I220" i="207" s="1"/>
  <c r="F216" i="207" l="1"/>
  <c r="I216" i="207" s="1"/>
  <c r="N220" i="207"/>
  <c r="N216" i="207" l="1"/>
  <c r="F218" i="207"/>
  <c r="I218" i="207" s="1"/>
  <c r="N218" i="207" l="1"/>
  <c r="F217" i="207" l="1"/>
  <c r="I217" i="207" s="1"/>
  <c r="F221" i="207"/>
  <c r="I221" i="207" s="1"/>
  <c r="F212" i="207" l="1"/>
  <c r="N221" i="207"/>
  <c r="N217" i="207"/>
  <c r="F219" i="207"/>
  <c r="I219" i="207" s="1"/>
  <c r="D226" i="207" l="1"/>
  <c r="N212" i="207"/>
  <c r="F226" i="207"/>
  <c r="F230" i="207" s="1"/>
  <c r="I212" i="207"/>
  <c r="I226" i="207" s="1"/>
  <c r="I230" i="207" s="1"/>
  <c r="N219" i="207"/>
  <c r="N226" i="207" l="1"/>
  <c r="N230" i="207" s="1"/>
  <c r="F15" i="3" s="1"/>
  <c r="H22" i="10"/>
  <c r="H25" i="10" s="1"/>
  <c r="D15" i="3"/>
  <c r="D230" i="207"/>
  <c r="K226" i="207"/>
  <c r="K230" i="207" l="1"/>
  <c r="F220" i="213"/>
  <c r="I220" i="213" s="1"/>
  <c r="F218" i="213"/>
  <c r="I218" i="213" s="1"/>
  <c r="N218" i="213" l="1"/>
  <c r="N220" i="213"/>
  <c r="F217" i="213" l="1"/>
  <c r="I217" i="213" s="1"/>
  <c r="F216" i="213"/>
  <c r="I216" i="213" s="1"/>
  <c r="N217" i="213" l="1"/>
  <c r="N216" i="213"/>
  <c r="F219" i="213" l="1"/>
  <c r="I219" i="213" s="1"/>
  <c r="F212" i="213" l="1"/>
  <c r="N219" i="213"/>
  <c r="N212" i="213" l="1"/>
  <c r="I212" i="213"/>
  <c r="F221" i="213" l="1"/>
  <c r="D226" i="213"/>
  <c r="I221" i="213" l="1"/>
  <c r="I226" i="213" s="1"/>
  <c r="F226" i="213"/>
  <c r="N221" i="213"/>
  <c r="N226" i="213" s="1"/>
  <c r="K226" i="213"/>
  <c r="F226" i="236" l="1"/>
  <c r="I226" i="236" s="1"/>
  <c r="N226" i="236" l="1"/>
  <c r="N166" i="236"/>
  <c r="F226" i="209" l="1"/>
  <c r="I226" i="209" s="1"/>
  <c r="N226" i="209" l="1"/>
  <c r="F199" i="236"/>
  <c r="I199" i="236" s="1"/>
  <c r="N199" i="236" l="1"/>
  <c r="N166" i="209" l="1"/>
  <c r="F199" i="209"/>
  <c r="I199" i="209" s="1"/>
  <c r="N199" i="209" l="1"/>
  <c r="F207" i="236" l="1"/>
  <c r="I207" i="236" s="1"/>
  <c r="N207" i="236" l="1"/>
  <c r="F206" i="236" l="1"/>
  <c r="N206" i="236" l="1"/>
  <c r="I206" i="236"/>
  <c r="H118" i="237" l="1"/>
  <c r="H117" i="237"/>
  <c r="H128" i="237"/>
  <c r="H133" i="237"/>
  <c r="H130" i="237"/>
  <c r="H127" i="237"/>
  <c r="H141" i="237"/>
  <c r="H124" i="237"/>
  <c r="H125" i="237"/>
  <c r="H131" i="237"/>
  <c r="H143" i="237"/>
  <c r="H135" i="237"/>
  <c r="H142" i="237"/>
  <c r="H138" i="237"/>
  <c r="H129" i="237"/>
  <c r="H136" i="237"/>
  <c r="H123" i="237"/>
  <c r="H140" i="237"/>
  <c r="H139" i="237"/>
  <c r="H132" i="237"/>
  <c r="H137" i="237"/>
  <c r="H134" i="237"/>
  <c r="H126" i="237"/>
  <c r="H120" i="237" l="1"/>
  <c r="H145" i="237"/>
  <c r="H106" i="237" l="1"/>
  <c r="D34" i="231" l="1"/>
  <c r="G34" i="231" s="1"/>
  <c r="Q34" i="230" l="1"/>
  <c r="I34" i="231" s="1"/>
  <c r="L34" i="231" s="1"/>
  <c r="D32" i="232"/>
  <c r="G32" i="232" s="1"/>
  <c r="M36" i="233"/>
  <c r="D34" i="232"/>
  <c r="G34" i="232" s="1"/>
  <c r="F36" i="233" l="1"/>
  <c r="H36" i="233"/>
  <c r="Q34" i="233"/>
  <c r="I34" i="232" s="1"/>
  <c r="L34" i="232" s="1"/>
  <c r="J36" i="233"/>
  <c r="N36" i="233"/>
  <c r="E36" i="233"/>
  <c r="K36" i="233"/>
  <c r="Q32" i="233"/>
  <c r="I32" i="232" s="1"/>
  <c r="L32" i="232" s="1"/>
  <c r="D30" i="232"/>
  <c r="P36" i="233"/>
  <c r="L36" i="233"/>
  <c r="G36" i="233"/>
  <c r="I36" i="233"/>
  <c r="D36" i="233"/>
  <c r="Q30" i="233"/>
  <c r="I30" i="232" s="1"/>
  <c r="O36" i="233"/>
  <c r="Q36" i="233" l="1"/>
  <c r="G30" i="232"/>
  <c r="G36" i="232" s="1"/>
  <c r="D36" i="232"/>
  <c r="I36" i="232"/>
  <c r="L30" i="232"/>
  <c r="L36" i="232" s="1"/>
  <c r="D19" i="233" l="1"/>
  <c r="D47" i="233"/>
  <c r="E47" i="233"/>
  <c r="E19" i="233"/>
  <c r="F47" i="233" l="1"/>
  <c r="F19" i="233"/>
  <c r="G47" i="233" l="1"/>
  <c r="G19" i="233"/>
  <c r="H47" i="233" l="1"/>
  <c r="H19" i="233"/>
  <c r="I47" i="233" l="1"/>
  <c r="I19" i="233"/>
  <c r="J47" i="233" l="1"/>
  <c r="J19" i="233"/>
  <c r="K47" i="233" l="1"/>
  <c r="K19" i="233"/>
  <c r="L47" i="233" l="1"/>
  <c r="L19" i="233"/>
  <c r="M47" i="233" l="1"/>
  <c r="M19" i="233"/>
  <c r="N47" i="233" l="1"/>
  <c r="N19" i="233"/>
  <c r="D17" i="232" l="1"/>
  <c r="G17" i="232" s="1"/>
  <c r="Q17" i="233"/>
  <c r="I17" i="232" s="1"/>
  <c r="L17" i="232" s="1"/>
  <c r="D13" i="232"/>
  <c r="Q13" i="233"/>
  <c r="I13" i="232" s="1"/>
  <c r="D44" i="232"/>
  <c r="G44" i="232" s="1"/>
  <c r="Q43" i="233"/>
  <c r="I44" i="232" s="1"/>
  <c r="L44" i="232" s="1"/>
  <c r="D38" i="232"/>
  <c r="Q39" i="233"/>
  <c r="I38" i="232" s="1"/>
  <c r="O47" i="233"/>
  <c r="O19" i="233"/>
  <c r="L13" i="232" l="1"/>
  <c r="L38" i="232"/>
  <c r="G13" i="232"/>
  <c r="G38" i="232"/>
  <c r="D15" i="232" l="1"/>
  <c r="Q15" i="233"/>
  <c r="I15" i="232" s="1"/>
  <c r="P19" i="233"/>
  <c r="D42" i="232"/>
  <c r="Q41" i="233"/>
  <c r="I42" i="232" s="1"/>
  <c r="P47" i="233"/>
  <c r="L42" i="232" l="1"/>
  <c r="L46" i="232" s="1"/>
  <c r="I46" i="232"/>
  <c r="G42" i="232"/>
  <c r="G46" i="232" s="1"/>
  <c r="D46" i="232"/>
  <c r="L15" i="232"/>
  <c r="L19" i="232" s="1"/>
  <c r="I19" i="232"/>
  <c r="Q19" i="233"/>
  <c r="G15" i="232"/>
  <c r="G19" i="232" s="1"/>
  <c r="D19" i="232"/>
  <c r="Q47" i="233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07" i="51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H205" i="237" l="1"/>
  <c r="F207" i="209" l="1"/>
  <c r="I207" i="209" s="1"/>
  <c r="N207" i="209"/>
  <c r="F206" i="209" l="1"/>
  <c r="H204" i="237" l="1"/>
  <c r="I206" i="209"/>
  <c r="N206" i="209" l="1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G70" i="171" s="1"/>
  <c r="I47" i="171"/>
  <c r="I71" i="171" s="1"/>
  <c r="F34" i="171"/>
  <c r="F70" i="171" s="1"/>
  <c r="H47" i="171"/>
  <c r="H71" i="171" s="1"/>
  <c r="D47" i="171"/>
  <c r="D71" i="171" s="1"/>
  <c r="F62" i="171"/>
  <c r="F72" i="171" s="1"/>
  <c r="G24" i="171"/>
  <c r="I34" i="171"/>
  <c r="I70" i="171" s="1"/>
  <c r="G47" i="171"/>
  <c r="G71" i="171" s="1"/>
  <c r="I62" i="171"/>
  <c r="I72" i="171" s="1"/>
  <c r="E62" i="171"/>
  <c r="E72" i="171" s="1"/>
  <c r="F24" i="171"/>
  <c r="E34" i="171"/>
  <c r="E70" i="171" s="1"/>
  <c r="O32" i="171"/>
  <c r="H34" i="171"/>
  <c r="H70" i="171" s="1"/>
  <c r="D34" i="171"/>
  <c r="D70" i="171" s="1"/>
  <c r="F47" i="171"/>
  <c r="F71" i="171" s="1"/>
  <c r="H62" i="171"/>
  <c r="H72" i="171" s="1"/>
  <c r="D62" i="171"/>
  <c r="D72" i="171" s="1"/>
  <c r="I24" i="171"/>
  <c r="J16" i="44" s="1"/>
  <c r="E24" i="171"/>
  <c r="E47" i="171"/>
  <c r="E71" i="171" s="1"/>
  <c r="G62" i="171"/>
  <c r="G72" i="171" s="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71" i="171" s="1"/>
  <c r="C34" i="171"/>
  <c r="C70" i="171" s="1"/>
  <c r="C62" i="171"/>
  <c r="C72" i="171" s="1"/>
  <c r="O14" i="238" l="1"/>
  <c r="L29" i="36" s="1"/>
  <c r="O13" i="171"/>
  <c r="D29" i="36" s="1"/>
  <c r="H29" i="36" s="1"/>
  <c r="O15" i="238"/>
  <c r="L30" i="36" s="1"/>
  <c r="O14" i="171"/>
  <c r="D30" i="36" s="1"/>
  <c r="H30" i="36" s="1"/>
  <c r="O13" i="238"/>
  <c r="L28" i="36" s="1"/>
  <c r="O12" i="171"/>
  <c r="D28" i="36" s="1"/>
  <c r="L31" i="36" l="1"/>
  <c r="O43" i="35" s="1"/>
  <c r="J47" i="171"/>
  <c r="H28" i="36"/>
  <c r="J28" i="36" s="1"/>
  <c r="D31" i="36"/>
  <c r="J29" i="36"/>
  <c r="J34" i="171"/>
  <c r="J30" i="36"/>
  <c r="K34" i="171"/>
  <c r="L34" i="171"/>
  <c r="L62" i="171"/>
  <c r="K62" i="171"/>
  <c r="J62" i="171"/>
  <c r="O45" i="171"/>
  <c r="M34" i="171" l="1"/>
  <c r="M39" i="171" s="1"/>
  <c r="M62" i="171"/>
  <c r="M67" i="171" s="1"/>
  <c r="M22" i="171" s="1"/>
  <c r="O59" i="171"/>
  <c r="J39" i="171"/>
  <c r="J52" i="171"/>
  <c r="O30" i="171"/>
  <c r="H31" i="36"/>
  <c r="J31" i="36" s="1"/>
  <c r="M43" i="35"/>
  <c r="L67" i="171"/>
  <c r="L22" i="171" s="1"/>
  <c r="K39" i="171"/>
  <c r="L39" i="171"/>
  <c r="K47" i="171"/>
  <c r="K67" i="171"/>
  <c r="K22" i="171" s="1"/>
  <c r="J67" i="171"/>
  <c r="M47" i="171"/>
  <c r="L47" i="171"/>
  <c r="N47" i="171"/>
  <c r="O44" i="238" l="1"/>
  <c r="O45" i="238"/>
  <c r="O44" i="171"/>
  <c r="O43" i="171"/>
  <c r="O42" i="171"/>
  <c r="L43" i="35"/>
  <c r="N43" i="35"/>
  <c r="O29" i="238"/>
  <c r="O28" i="171"/>
  <c r="N62" i="171"/>
  <c r="O55" i="171"/>
  <c r="D46" i="238"/>
  <c r="C48" i="238"/>
  <c r="C53" i="238" s="1"/>
  <c r="C21" i="238" s="1"/>
  <c r="O30" i="238"/>
  <c r="O29" i="171"/>
  <c r="J21" i="171"/>
  <c r="J70" i="171"/>
  <c r="O58" i="238"/>
  <c r="O57" i="171"/>
  <c r="J20" i="171"/>
  <c r="J71" i="171"/>
  <c r="O57" i="238"/>
  <c r="O56" i="171"/>
  <c r="K72" i="171"/>
  <c r="O27" i="171"/>
  <c r="N34" i="171"/>
  <c r="K52" i="171"/>
  <c r="O47" i="171"/>
  <c r="L52" i="171"/>
  <c r="M21" i="171"/>
  <c r="M70" i="171"/>
  <c r="O43" i="238"/>
  <c r="K21" i="171"/>
  <c r="K70" i="171"/>
  <c r="M72" i="171"/>
  <c r="L72" i="171"/>
  <c r="N52" i="171"/>
  <c r="M52" i="171"/>
  <c r="J22" i="171"/>
  <c r="J72" i="171"/>
  <c r="L70" i="171"/>
  <c r="L21" i="171"/>
  <c r="E46" i="238" l="1"/>
  <c r="D48" i="238"/>
  <c r="D53" i="238" s="1"/>
  <c r="D21" i="238" s="1"/>
  <c r="C35" i="238"/>
  <c r="N39" i="171"/>
  <c r="O34" i="171"/>
  <c r="O56" i="238"/>
  <c r="D60" i="238"/>
  <c r="C63" i="238"/>
  <c r="O28" i="238"/>
  <c r="N67" i="171"/>
  <c r="O62" i="171"/>
  <c r="M71" i="171"/>
  <c r="M20" i="171"/>
  <c r="M24" i="171" s="1"/>
  <c r="N16" i="44" s="1"/>
  <c r="J24" i="171"/>
  <c r="K16" i="44" s="1"/>
  <c r="N20" i="171"/>
  <c r="N71" i="171"/>
  <c r="L20" i="171"/>
  <c r="L24" i="171" s="1"/>
  <c r="M16" i="44" s="1"/>
  <c r="L71" i="171"/>
  <c r="K20" i="171"/>
  <c r="K71" i="171"/>
  <c r="O52" i="171"/>
  <c r="E60" i="238" l="1"/>
  <c r="D63" i="238"/>
  <c r="D68" i="238" s="1"/>
  <c r="D23" i="238" s="1"/>
  <c r="C40" i="238"/>
  <c r="D35" i="238"/>
  <c r="D40" i="238" s="1"/>
  <c r="D22" i="238" s="1"/>
  <c r="O39" i="171"/>
  <c r="N21" i="171"/>
  <c r="O21" i="171" s="1"/>
  <c r="N70" i="171"/>
  <c r="N22" i="171"/>
  <c r="O22" i="171" s="1"/>
  <c r="N72" i="171"/>
  <c r="O67" i="171"/>
  <c r="C68" i="238"/>
  <c r="F46" i="238"/>
  <c r="E48" i="238"/>
  <c r="K24" i="171"/>
  <c r="L16" i="44" s="1"/>
  <c r="O20" i="171"/>
  <c r="E35" i="238" l="1"/>
  <c r="F60" i="238"/>
  <c r="E63" i="238"/>
  <c r="E53" i="238"/>
  <c r="C23" i="238"/>
  <c r="N24" i="171"/>
  <c r="O16" i="44" s="1"/>
  <c r="C22" i="238"/>
  <c r="G46" i="238"/>
  <c r="F48" i="238"/>
  <c r="F53" i="238" s="1"/>
  <c r="F21" i="238" s="1"/>
  <c r="H46" i="238" l="1"/>
  <c r="G48" i="238"/>
  <c r="G53" i="238" s="1"/>
  <c r="G21" i="238" s="1"/>
  <c r="E68" i="238"/>
  <c r="E21" i="238"/>
  <c r="F35" i="238"/>
  <c r="F40" i="238" s="1"/>
  <c r="F22" i="238" s="1"/>
  <c r="O24" i="171"/>
  <c r="P16" i="44"/>
  <c r="D19" i="48" s="1"/>
  <c r="G60" i="238"/>
  <c r="F63" i="238"/>
  <c r="F68" i="238" s="1"/>
  <c r="F23" i="238" s="1"/>
  <c r="E40" i="238"/>
  <c r="D176" i="45" l="1"/>
  <c r="D27" i="46" s="1"/>
  <c r="D168" i="51"/>
  <c r="E22" i="238"/>
  <c r="H60" i="238"/>
  <c r="G63" i="238"/>
  <c r="G35" i="238"/>
  <c r="G40" i="238" s="1"/>
  <c r="G22" i="238" s="1"/>
  <c r="E23" i="238"/>
  <c r="I46" i="238"/>
  <c r="H48" i="238"/>
  <c r="H53" i="238" s="1"/>
  <c r="J28" i="42" l="1"/>
  <c r="J46" i="238"/>
  <c r="I48" i="238"/>
  <c r="I53" i="238" s="1"/>
  <c r="I21" i="238" s="1"/>
  <c r="H35" i="238"/>
  <c r="G68" i="238"/>
  <c r="I60" i="238"/>
  <c r="H63" i="238"/>
  <c r="H68" i="238" s="1"/>
  <c r="H23" i="238" s="1"/>
  <c r="H21" i="238"/>
  <c r="D21" i="47"/>
  <c r="I35" i="238" l="1"/>
  <c r="I40" i="238" s="1"/>
  <c r="I22" i="238" s="1"/>
  <c r="G23" i="238"/>
  <c r="K46" i="238"/>
  <c r="J48" i="238"/>
  <c r="J60" i="238"/>
  <c r="I63" i="238"/>
  <c r="I68" i="238" s="1"/>
  <c r="I23" i="238" s="1"/>
  <c r="H40" i="238"/>
  <c r="K60" i="238" l="1"/>
  <c r="J63" i="238"/>
  <c r="L46" i="238"/>
  <c r="K48" i="238"/>
  <c r="K53" i="238" s="1"/>
  <c r="K21" i="238" s="1"/>
  <c r="J35" i="238"/>
  <c r="H22" i="238"/>
  <c r="J53" i="238"/>
  <c r="K35" i="238" l="1"/>
  <c r="K40" i="238" s="1"/>
  <c r="K22" i="238" s="1"/>
  <c r="L60" i="238"/>
  <c r="K63" i="238"/>
  <c r="K68" i="238" s="1"/>
  <c r="K23" i="238" s="1"/>
  <c r="J21" i="238"/>
  <c r="M46" i="238"/>
  <c r="L48" i="238"/>
  <c r="L53" i="238" s="1"/>
  <c r="L21" i="238" s="1"/>
  <c r="J40" i="238"/>
  <c r="J68" i="238"/>
  <c r="J22" i="238" l="1"/>
  <c r="N46" i="238"/>
  <c r="M48" i="238"/>
  <c r="M53" i="238" s="1"/>
  <c r="M21" i="238" s="1"/>
  <c r="M60" i="238"/>
  <c r="L63" i="238"/>
  <c r="L68" i="238" s="1"/>
  <c r="L23" i="238" s="1"/>
  <c r="J23" i="238"/>
  <c r="L35" i="238"/>
  <c r="L40" i="238" s="1"/>
  <c r="L22" i="238" s="1"/>
  <c r="N48" i="238" l="1"/>
  <c r="N53" i="238" s="1"/>
  <c r="O46" i="238"/>
  <c r="N60" i="238"/>
  <c r="M63" i="238"/>
  <c r="M68" i="238" s="1"/>
  <c r="N35" i="238"/>
  <c r="M35" i="238"/>
  <c r="M40" i="238" s="1"/>
  <c r="N63" i="238" l="1"/>
  <c r="N68" i="238" s="1"/>
  <c r="N23" i="238" s="1"/>
  <c r="O60" i="238"/>
  <c r="O48" i="238"/>
  <c r="M22" i="238"/>
  <c r="N21" i="238"/>
  <c r="O53" i="238"/>
  <c r="N40" i="238"/>
  <c r="N22" i="238" s="1"/>
  <c r="O35" i="238"/>
  <c r="M23" i="238"/>
  <c r="O63" i="238" l="1"/>
  <c r="O68" i="238"/>
  <c r="O22" i="238"/>
  <c r="O40" i="238"/>
  <c r="O21" i="238"/>
  <c r="O23" i="238"/>
  <c r="F111" i="213" l="1"/>
  <c r="I111" i="213" s="1"/>
  <c r="F111" i="207"/>
  <c r="I111" i="207" s="1"/>
  <c r="F168" i="213"/>
  <c r="I168" i="213" s="1"/>
  <c r="F168" i="207"/>
  <c r="I168" i="207" s="1"/>
  <c r="F228" i="213" l="1"/>
  <c r="I228" i="213" s="1"/>
  <c r="F228" i="207"/>
  <c r="I228" i="207" s="1"/>
  <c r="F200" i="207" l="1"/>
  <c r="D232" i="207"/>
  <c r="F200" i="213"/>
  <c r="D232" i="213"/>
  <c r="I200" i="207" l="1"/>
  <c r="I232" i="207" s="1"/>
  <c r="D16" i="3" s="1"/>
  <c r="F232" i="207"/>
  <c r="I200" i="213"/>
  <c r="I232" i="213" s="1"/>
  <c r="D16" i="137" s="1"/>
  <c r="F232" i="213"/>
  <c r="H29" i="10" l="1"/>
  <c r="H31" i="10" s="1"/>
  <c r="G29" i="10"/>
  <c r="G31" i="10" s="1"/>
  <c r="N111" i="207" l="1"/>
  <c r="N168" i="207"/>
  <c r="N111" i="213"/>
  <c r="N168" i="213"/>
  <c r="N200" i="213" l="1"/>
  <c r="N200" i="207"/>
  <c r="N228" i="207" l="1"/>
  <c r="N232" i="207" s="1"/>
  <c r="F16" i="3" s="1"/>
  <c r="K232" i="207"/>
  <c r="N228" i="213" l="1"/>
  <c r="N232" i="213" s="1"/>
  <c r="F16" i="137" s="1"/>
  <c r="K232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1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69" i="50"/>
  <c r="D28" i="79"/>
  <c r="E20" i="238"/>
  <c r="F20" i="238" l="1"/>
  <c r="K14" i="46"/>
  <c r="O14" i="46" l="1"/>
  <c r="F15" i="47" s="1"/>
  <c r="G20" i="238"/>
  <c r="G34" i="1" l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 s="1"/>
  <c r="L21" i="42" l="1"/>
  <c r="L22" i="42" s="1"/>
  <c r="D58" i="50"/>
  <c r="K17" i="46"/>
  <c r="O17" i="46" l="1"/>
  <c r="D70" i="50"/>
  <c r="D71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5" i="50"/>
  <c r="P16" i="51"/>
  <c r="M35" i="41"/>
  <c r="M22" i="41"/>
  <c r="J16" i="42"/>
  <c r="J19" i="42" s="1"/>
  <c r="D32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1" i="42" s="1"/>
  <c r="P44" i="42" l="1"/>
  <c r="H50" i="192" l="1"/>
  <c r="G50" i="192"/>
  <c r="F50" i="192"/>
  <c r="E50" i="192"/>
  <c r="H52" i="192" l="1"/>
  <c r="H53" i="192" s="1"/>
  <c r="E52" i="192"/>
  <c r="E53" i="192" s="1"/>
  <c r="I50" i="192"/>
  <c r="F52" i="192"/>
  <c r="F53" i="192" s="1"/>
  <c r="G52" i="192"/>
  <c r="G53" i="192" s="1"/>
  <c r="D50" i="192"/>
  <c r="I52" i="192" l="1"/>
  <c r="I53" i="192" s="1"/>
  <c r="D52" i="192"/>
  <c r="J52" i="192"/>
  <c r="J54" i="192" s="1"/>
  <c r="D53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F106" i="209" l="1"/>
  <c r="I106" i="209" s="1"/>
  <c r="F106" i="236"/>
  <c r="I106" i="236" s="1"/>
  <c r="N106" i="236" l="1"/>
  <c r="N106" i="209" l="1"/>
  <c r="F216" i="236" l="1"/>
  <c r="I216" i="236" s="1"/>
  <c r="F214" i="236"/>
  <c r="I214" i="236" s="1"/>
  <c r="F208" i="236" l="1"/>
  <c r="I208" i="236" s="1"/>
  <c r="N208" i="236"/>
  <c r="N219" i="236"/>
  <c r="F219" i="236"/>
  <c r="I219" i="236" s="1"/>
  <c r="N216" i="236"/>
  <c r="N214" i="236"/>
  <c r="F215" i="236"/>
  <c r="I215" i="236" s="1"/>
  <c r="F220" i="236" l="1"/>
  <c r="I220" i="236" s="1"/>
  <c r="N220" i="236"/>
  <c r="F223" i="236"/>
  <c r="I223" i="236" s="1"/>
  <c r="N223" i="236"/>
  <c r="F212" i="236"/>
  <c r="I212" i="236" s="1"/>
  <c r="N212" i="236"/>
  <c r="F213" i="236"/>
  <c r="I213" i="236" s="1"/>
  <c r="F224" i="236"/>
  <c r="I224" i="236" s="1"/>
  <c r="N218" i="236"/>
  <c r="F218" i="236"/>
  <c r="I218" i="236" s="1"/>
  <c r="N215" i="236"/>
  <c r="F210" i="236"/>
  <c r="I210" i="236" s="1"/>
  <c r="F217" i="236"/>
  <c r="I217" i="236" s="1"/>
  <c r="F211" i="236" l="1"/>
  <c r="I211" i="236" s="1"/>
  <c r="N211" i="236"/>
  <c r="F222" i="236"/>
  <c r="I222" i="236" s="1"/>
  <c r="N222" i="236"/>
  <c r="N213" i="236"/>
  <c r="N224" i="236"/>
  <c r="N217" i="236"/>
  <c r="N210" i="236"/>
  <c r="F225" i="236" l="1"/>
  <c r="I225" i="236" s="1"/>
  <c r="N225" i="236"/>
  <c r="F209" i="236"/>
  <c r="N209" i="236"/>
  <c r="I209" i="236" l="1"/>
  <c r="F221" i="236" l="1"/>
  <c r="D228" i="236"/>
  <c r="I221" i="236" l="1"/>
  <c r="I228" i="236" s="1"/>
  <c r="F228" i="236"/>
  <c r="N221" i="236" l="1"/>
  <c r="N228" i="236" s="1"/>
  <c r="K228" i="236"/>
  <c r="H221" i="237" l="1"/>
  <c r="H206" i="237" l="1"/>
  <c r="F223" i="209"/>
  <c r="I223" i="209" s="1"/>
  <c r="N223" i="209"/>
  <c r="H212" i="237" l="1"/>
  <c r="H214" i="237"/>
  <c r="F220" i="209"/>
  <c r="I220" i="209" s="1"/>
  <c r="H218" i="237"/>
  <c r="F214" i="209"/>
  <c r="I214" i="209" s="1"/>
  <c r="F216" i="209"/>
  <c r="I216" i="209" s="1"/>
  <c r="H207" i="237" l="1"/>
  <c r="H217" i="237"/>
  <c r="N208" i="209"/>
  <c r="F208" i="209"/>
  <c r="N216" i="209"/>
  <c r="N214" i="209"/>
  <c r="N220" i="209"/>
  <c r="F209" i="209"/>
  <c r="I209" i="209" s="1"/>
  <c r="H216" i="237" l="1"/>
  <c r="H208" i="237"/>
  <c r="H210" i="237"/>
  <c r="H215" i="237"/>
  <c r="H220" i="237"/>
  <c r="H209" i="237"/>
  <c r="F222" i="209"/>
  <c r="I222" i="209" s="1"/>
  <c r="F211" i="209"/>
  <c r="I211" i="209" s="1"/>
  <c r="N219" i="209"/>
  <c r="F219" i="209"/>
  <c r="I219" i="209" s="1"/>
  <c r="I208" i="209"/>
  <c r="N211" i="209"/>
  <c r="N222" i="209"/>
  <c r="F218" i="209"/>
  <c r="I218" i="209" s="1"/>
  <c r="H223" i="237" l="1"/>
  <c r="N212" i="209"/>
  <c r="F212" i="209"/>
  <c r="I212" i="209" s="1"/>
  <c r="N209" i="209"/>
  <c r="F217" i="209"/>
  <c r="I217" i="209" s="1"/>
  <c r="N217" i="209"/>
  <c r="N210" i="209"/>
  <c r="N218" i="209"/>
  <c r="F225" i="209"/>
  <c r="I225" i="209" s="1"/>
  <c r="H213" i="237" l="1"/>
  <c r="F210" i="209"/>
  <c r="N225" i="209"/>
  <c r="F213" i="209"/>
  <c r="I213" i="209" s="1"/>
  <c r="F215" i="209"/>
  <c r="I215" i="209" s="1"/>
  <c r="H222" i="237" l="1"/>
  <c r="I210" i="209"/>
  <c r="H211" i="237"/>
  <c r="N215" i="209"/>
  <c r="N213" i="209" l="1"/>
  <c r="F224" i="209"/>
  <c r="I224" i="209" s="1"/>
  <c r="N224" i="209"/>
  <c r="F221" i="209" l="1"/>
  <c r="D228" i="209"/>
  <c r="H219" i="237"/>
  <c r="H226" i="237" s="1"/>
  <c r="D226" i="237"/>
  <c r="N221" i="209" l="1"/>
  <c r="N228" i="209" s="1"/>
  <c r="K228" i="209"/>
  <c r="I221" i="209"/>
  <c r="I228" i="209" s="1"/>
  <c r="F228" i="209"/>
  <c r="F150" i="236" l="1"/>
  <c r="I150" i="236" s="1"/>
  <c r="N150" i="236"/>
  <c r="F159" i="236"/>
  <c r="I159" i="236" s="1"/>
  <c r="F157" i="236"/>
  <c r="I157" i="236" s="1"/>
  <c r="F152" i="236"/>
  <c r="I152" i="236" s="1"/>
  <c r="F160" i="236"/>
  <c r="I160" i="236" s="1"/>
  <c r="F164" i="236"/>
  <c r="I164" i="236" s="1"/>
  <c r="F162" i="236"/>
  <c r="I162" i="236" s="1"/>
  <c r="N162" i="236"/>
  <c r="N157" i="236"/>
  <c r="N160" i="236"/>
  <c r="N164" i="236"/>
  <c r="F154" i="236"/>
  <c r="I154" i="236" s="1"/>
  <c r="N152" i="236"/>
  <c r="N163" i="236" l="1"/>
  <c r="F163" i="236"/>
  <c r="I163" i="236" s="1"/>
  <c r="F151" i="236"/>
  <c r="I151" i="236" s="1"/>
  <c r="N151" i="236"/>
  <c r="N159" i="236"/>
  <c r="F153" i="236"/>
  <c r="I153" i="236" s="1"/>
  <c r="F165" i="236"/>
  <c r="I165" i="236" s="1"/>
  <c r="N161" i="236"/>
  <c r="F161" i="236"/>
  <c r="I161" i="236" s="1"/>
  <c r="F158" i="236"/>
  <c r="I158" i="236" s="1"/>
  <c r="N165" i="236"/>
  <c r="N154" i="236"/>
  <c r="F156" i="236" l="1"/>
  <c r="I156" i="236" s="1"/>
  <c r="N156" i="236"/>
  <c r="N155" i="236"/>
  <c r="F155" i="236"/>
  <c r="I155" i="236" s="1"/>
  <c r="N153" i="236"/>
  <c r="N158" i="236"/>
  <c r="N168" i="236" l="1"/>
  <c r="N170" i="236" s="1"/>
  <c r="I168" i="236"/>
  <c r="I170" i="236" s="1"/>
  <c r="F168" i="236"/>
  <c r="F170" i="236" s="1"/>
  <c r="D168" i="236"/>
  <c r="D170" i="236" s="1"/>
  <c r="K168" i="236"/>
  <c r="K170" i="236" s="1"/>
  <c r="F159" i="209" l="1"/>
  <c r="I159" i="209" s="1"/>
  <c r="H157" i="237"/>
  <c r="H155" i="237" l="1"/>
  <c r="H148" i="237"/>
  <c r="H159" i="237"/>
  <c r="N159" i="209"/>
  <c r="F161" i="209"/>
  <c r="I161" i="209" s="1"/>
  <c r="F157" i="209" l="1"/>
  <c r="I157" i="209" s="1"/>
  <c r="N157" i="209"/>
  <c r="N161" i="209"/>
  <c r="H162" i="237" l="1"/>
  <c r="H150" i="237"/>
  <c r="F150" i="209"/>
  <c r="N150" i="209"/>
  <c r="H160" i="237" l="1"/>
  <c r="F164" i="209"/>
  <c r="I164" i="209" s="1"/>
  <c r="H152" i="237"/>
  <c r="H154" i="237"/>
  <c r="H158" i="237"/>
  <c r="I150" i="209"/>
  <c r="F152" i="209"/>
  <c r="I152" i="209" s="1"/>
  <c r="N164" i="209"/>
  <c r="F154" i="209"/>
  <c r="I154" i="209" s="1"/>
  <c r="H151" i="237" l="1"/>
  <c r="H161" i="237"/>
  <c r="F162" i="209"/>
  <c r="I162" i="209" s="1"/>
  <c r="F160" i="209"/>
  <c r="I160" i="209" s="1"/>
  <c r="F156" i="209"/>
  <c r="I156" i="209" s="1"/>
  <c r="N152" i="209"/>
  <c r="H156" i="237"/>
  <c r="N154" i="209"/>
  <c r="H153" i="237"/>
  <c r="N162" i="209"/>
  <c r="N160" i="209"/>
  <c r="F163" i="209"/>
  <c r="I163" i="209" s="1"/>
  <c r="H149" i="237" l="1"/>
  <c r="N158" i="209"/>
  <c r="F158" i="209"/>
  <c r="I158" i="209" s="1"/>
  <c r="F155" i="209"/>
  <c r="I155" i="209" s="1"/>
  <c r="N156" i="209"/>
  <c r="N163" i="209"/>
  <c r="N155" i="209"/>
  <c r="N151" i="209" l="1"/>
  <c r="F151" i="209"/>
  <c r="F153" i="209"/>
  <c r="I153" i="209" s="1"/>
  <c r="N153" i="209"/>
  <c r="H163" i="237" l="1"/>
  <c r="H166" i="237" s="1"/>
  <c r="H168" i="237" s="1"/>
  <c r="D166" i="237"/>
  <c r="D168" i="237" s="1"/>
  <c r="I151" i="209"/>
  <c r="N165" i="209"/>
  <c r="N168" i="209" s="1"/>
  <c r="N170" i="209" s="1"/>
  <c r="F165" i="209" l="1"/>
  <c r="D168" i="209"/>
  <c r="D170" i="209" s="1"/>
  <c r="K168" i="209"/>
  <c r="K170" i="209" s="1"/>
  <c r="I165" i="209" l="1"/>
  <c r="I168" i="209" s="1"/>
  <c r="I170" i="209" s="1"/>
  <c r="F168" i="209"/>
  <c r="F170" i="209" s="1"/>
  <c r="F194" i="236" l="1"/>
  <c r="I194" i="236" s="1"/>
  <c r="F193" i="236" l="1"/>
  <c r="I193" i="236" s="1"/>
  <c r="N193" i="236"/>
  <c r="F195" i="236"/>
  <c r="I195" i="236" s="1"/>
  <c r="F196" i="236"/>
  <c r="I196" i="236" s="1"/>
  <c r="N196" i="236"/>
  <c r="N195" i="236"/>
  <c r="N194" i="236"/>
  <c r="H194" i="237" l="1"/>
  <c r="F196" i="209"/>
  <c r="I196" i="209" s="1"/>
  <c r="H192" i="237" l="1"/>
  <c r="N196" i="209"/>
  <c r="H191" i="237" l="1"/>
  <c r="N194" i="209"/>
  <c r="F194" i="209"/>
  <c r="I194" i="209" s="1"/>
  <c r="F193" i="209"/>
  <c r="I193" i="209" s="1"/>
  <c r="N193" i="209" l="1"/>
  <c r="H193" i="237" l="1"/>
  <c r="F195" i="209" l="1"/>
  <c r="I195" i="209" s="1"/>
  <c r="N195" i="209"/>
  <c r="F180" i="236" l="1"/>
  <c r="I180" i="236" s="1"/>
  <c r="N180" i="236"/>
  <c r="F185" i="236" l="1"/>
  <c r="I185" i="236" s="1"/>
  <c r="N190" i="236" l="1"/>
  <c r="F182" i="236"/>
  <c r="I182" i="236" s="1"/>
  <c r="N182" i="236"/>
  <c r="F181" i="236"/>
  <c r="I181" i="236" s="1"/>
  <c r="N181" i="236"/>
  <c r="N179" i="236"/>
  <c r="F179" i="236"/>
  <c r="I179" i="236" s="1"/>
  <c r="N188" i="236"/>
  <c r="F188" i="236"/>
  <c r="I188" i="236" s="1"/>
  <c r="N197" i="236"/>
  <c r="F197" i="236"/>
  <c r="I197" i="236" s="1"/>
  <c r="F192" i="236"/>
  <c r="I192" i="236" s="1"/>
  <c r="N192" i="236"/>
  <c r="F190" i="236"/>
  <c r="I190" i="236" s="1"/>
  <c r="F177" i="236"/>
  <c r="I177" i="236" s="1"/>
  <c r="F187" i="236"/>
  <c r="I187" i="236" s="1"/>
  <c r="N178" i="236"/>
  <c r="F178" i="236"/>
  <c r="I178" i="236" s="1"/>
  <c r="N183" i="236"/>
  <c r="F183" i="236"/>
  <c r="I183" i="236" s="1"/>
  <c r="N176" i="236"/>
  <c r="F176" i="236"/>
  <c r="I176" i="236" s="1"/>
  <c r="F184" i="236"/>
  <c r="I184" i="236" s="1"/>
  <c r="F186" i="236"/>
  <c r="I186" i="236" s="1"/>
  <c r="N185" i="236"/>
  <c r="N177" i="236"/>
  <c r="N187" i="236"/>
  <c r="N184" i="236"/>
  <c r="N186" i="236" l="1"/>
  <c r="F189" i="236"/>
  <c r="I189" i="236" s="1"/>
  <c r="N189" i="236" l="1"/>
  <c r="N191" i="236" l="1"/>
  <c r="F191" i="236"/>
  <c r="I191" i="236" s="1"/>
  <c r="H186" i="237" l="1"/>
  <c r="F188" i="209" l="1"/>
  <c r="I188" i="209" s="1"/>
  <c r="N188" i="209"/>
  <c r="H188" i="237"/>
  <c r="H189" i="237"/>
  <c r="H175" i="237" l="1"/>
  <c r="H187" i="237"/>
  <c r="F186" i="209"/>
  <c r="I186" i="209" s="1"/>
  <c r="F190" i="209"/>
  <c r="I190" i="209" s="1"/>
  <c r="F191" i="209"/>
  <c r="I191" i="209" s="1"/>
  <c r="F180" i="209"/>
  <c r="I180" i="209" s="1"/>
  <c r="H178" i="237"/>
  <c r="N191" i="209"/>
  <c r="H195" i="237"/>
  <c r="N190" i="209"/>
  <c r="F182" i="209"/>
  <c r="I182" i="209" s="1"/>
  <c r="H180" i="237"/>
  <c r="F177" i="209"/>
  <c r="I177" i="209" s="1"/>
  <c r="H185" i="237" l="1"/>
  <c r="H183" i="237"/>
  <c r="H177" i="237"/>
  <c r="N186" i="209"/>
  <c r="H184" i="237"/>
  <c r="N189" i="209"/>
  <c r="F189" i="209"/>
  <c r="I189" i="209" s="1"/>
  <c r="F197" i="209"/>
  <c r="I197" i="209" s="1"/>
  <c r="N182" i="209"/>
  <c r="N177" i="209"/>
  <c r="H174" i="237"/>
  <c r="N197" i="209"/>
  <c r="N180" i="209"/>
  <c r="F187" i="209"/>
  <c r="I187" i="209" s="1"/>
  <c r="F179" i="209"/>
  <c r="I179" i="209" s="1"/>
  <c r="F185" i="209" l="1"/>
  <c r="I185" i="209" s="1"/>
  <c r="F176" i="209"/>
  <c r="I176" i="209" s="1"/>
  <c r="N179" i="209"/>
  <c r="N176" i="209"/>
  <c r="N187" i="209"/>
  <c r="H176" i="237" l="1"/>
  <c r="N185" i="209"/>
  <c r="H179" i="237"/>
  <c r="H190" i="237"/>
  <c r="F181" i="209" l="1"/>
  <c r="I181" i="209" s="1"/>
  <c r="N178" i="209"/>
  <c r="F178" i="209"/>
  <c r="I178" i="209" s="1"/>
  <c r="F192" i="209"/>
  <c r="I192" i="209" s="1"/>
  <c r="N181" i="209"/>
  <c r="N192" i="209"/>
  <c r="H181" i="237" l="1"/>
  <c r="H182" i="237"/>
  <c r="F184" i="209" l="1"/>
  <c r="I184" i="209" s="1"/>
  <c r="N184" i="209"/>
  <c r="F183" i="209" l="1"/>
  <c r="I183" i="209" s="1"/>
  <c r="N183" i="209"/>
  <c r="F16" i="236" l="1"/>
  <c r="N16" i="236" l="1"/>
  <c r="I16" i="236"/>
  <c r="F91" i="236" l="1"/>
  <c r="I91" i="236" s="1"/>
  <c r="N91" i="236"/>
  <c r="F64" i="236"/>
  <c r="I64" i="236" s="1"/>
  <c r="F87" i="236"/>
  <c r="I87" i="236" s="1"/>
  <c r="F52" i="236"/>
  <c r="I52" i="236" s="1"/>
  <c r="F105" i="236"/>
  <c r="I105" i="236" s="1"/>
  <c r="N105" i="236"/>
  <c r="F42" i="236"/>
  <c r="I42" i="236" s="1"/>
  <c r="N42" i="236"/>
  <c r="F23" i="236"/>
  <c r="I23" i="236" s="1"/>
  <c r="F33" i="236"/>
  <c r="I33" i="236" s="1"/>
  <c r="F54" i="236"/>
  <c r="I54" i="236" s="1"/>
  <c r="F63" i="236"/>
  <c r="I63" i="236" s="1"/>
  <c r="N63" i="236"/>
  <c r="F41" i="236"/>
  <c r="I41" i="236" s="1"/>
  <c r="N41" i="236"/>
  <c r="F36" i="236"/>
  <c r="I36" i="236" s="1"/>
  <c r="N36" i="236"/>
  <c r="F44" i="236"/>
  <c r="I44" i="236" s="1"/>
  <c r="N44" i="236"/>
  <c r="F96" i="236"/>
  <c r="I96" i="236" s="1"/>
  <c r="N78" i="236"/>
  <c r="F78" i="236"/>
  <c r="I78" i="236" s="1"/>
  <c r="F43" i="236"/>
  <c r="I43" i="236" s="1"/>
  <c r="N43" i="236"/>
  <c r="N99" i="236"/>
  <c r="F99" i="236"/>
  <c r="I99" i="236" s="1"/>
  <c r="F55" i="236"/>
  <c r="I55" i="236" s="1"/>
  <c r="N55" i="236"/>
  <c r="F89" i="236"/>
  <c r="I89" i="236" s="1"/>
  <c r="N89" i="236"/>
  <c r="F97" i="236"/>
  <c r="I97" i="236" s="1"/>
  <c r="N97" i="236"/>
  <c r="F39" i="236"/>
  <c r="I39" i="236" s="1"/>
  <c r="F66" i="236"/>
  <c r="I66" i="236" s="1"/>
  <c r="F76" i="236"/>
  <c r="I76" i="236" s="1"/>
  <c r="N76" i="236"/>
  <c r="F65" i="236"/>
  <c r="I65" i="236" s="1"/>
  <c r="N65" i="236"/>
  <c r="F75" i="236"/>
  <c r="I75" i="236" s="1"/>
  <c r="F31" i="236"/>
  <c r="I31" i="236" s="1"/>
  <c r="N31" i="236"/>
  <c r="F72" i="236"/>
  <c r="I72" i="236" s="1"/>
  <c r="N72" i="236"/>
  <c r="F50" i="236"/>
  <c r="N37" i="236"/>
  <c r="F37" i="236"/>
  <c r="I37" i="236" s="1"/>
  <c r="F80" i="236"/>
  <c r="I80" i="236" s="1"/>
  <c r="N80" i="236"/>
  <c r="F57" i="236"/>
  <c r="I57" i="236" s="1"/>
  <c r="F34" i="236"/>
  <c r="I34" i="236" s="1"/>
  <c r="F30" i="236"/>
  <c r="I30" i="236" s="1"/>
  <c r="F102" i="236"/>
  <c r="I102" i="236" s="1"/>
  <c r="F101" i="236"/>
  <c r="I101" i="236" s="1"/>
  <c r="F45" i="236"/>
  <c r="I45" i="236" s="1"/>
  <c r="N45" i="236"/>
  <c r="F95" i="236"/>
  <c r="I95" i="236" s="1"/>
  <c r="N95" i="236"/>
  <c r="F92" i="236"/>
  <c r="I92" i="236" s="1"/>
  <c r="F38" i="236"/>
  <c r="I38" i="236" s="1"/>
  <c r="F35" i="236"/>
  <c r="I35" i="236" s="1"/>
  <c r="F86" i="236"/>
  <c r="F53" i="236"/>
  <c r="I53" i="236" s="1"/>
  <c r="F24" i="236"/>
  <c r="I24" i="236" s="1"/>
  <c r="N74" i="236"/>
  <c r="N33" i="236"/>
  <c r="N23" i="236"/>
  <c r="N53" i="236"/>
  <c r="F74" i="236"/>
  <c r="I74" i="236" s="1"/>
  <c r="N30" i="236"/>
  <c r="N75" i="236"/>
  <c r="N87" i="236"/>
  <c r="N24" i="236"/>
  <c r="N92" i="236"/>
  <c r="N54" i="236"/>
  <c r="N64" i="236"/>
  <c r="N96" i="236"/>
  <c r="N93" i="236" l="1"/>
  <c r="F88" i="236"/>
  <c r="I88" i="236" s="1"/>
  <c r="N88" i="236"/>
  <c r="N94" i="236"/>
  <c r="F94" i="236"/>
  <c r="I94" i="236" s="1"/>
  <c r="F79" i="236"/>
  <c r="I79" i="236" s="1"/>
  <c r="N79" i="236"/>
  <c r="N29" i="236"/>
  <c r="F32" i="236"/>
  <c r="I32" i="236" s="1"/>
  <c r="N32" i="236"/>
  <c r="F67" i="236"/>
  <c r="I67" i="236" s="1"/>
  <c r="N67" i="236"/>
  <c r="F98" i="236"/>
  <c r="I98" i="236" s="1"/>
  <c r="N98" i="236"/>
  <c r="F104" i="236"/>
  <c r="I104" i="236" s="1"/>
  <c r="N104" i="236"/>
  <c r="F51" i="236"/>
  <c r="I51" i="236" s="1"/>
  <c r="N51" i="236"/>
  <c r="F100" i="236"/>
  <c r="I100" i="236" s="1"/>
  <c r="N100" i="236"/>
  <c r="F40" i="236"/>
  <c r="I40" i="236" s="1"/>
  <c r="N40" i="236"/>
  <c r="F56" i="236"/>
  <c r="I56" i="236" s="1"/>
  <c r="N56" i="236"/>
  <c r="F69" i="236"/>
  <c r="I69" i="236" s="1"/>
  <c r="N69" i="236"/>
  <c r="F68" i="236"/>
  <c r="I68" i="236" s="1"/>
  <c r="N68" i="236"/>
  <c r="F77" i="236"/>
  <c r="I77" i="236" s="1"/>
  <c r="N77" i="236"/>
  <c r="F73" i="236"/>
  <c r="I73" i="236" s="1"/>
  <c r="N73" i="236"/>
  <c r="N90" i="236"/>
  <c r="F90" i="236"/>
  <c r="I90" i="236" s="1"/>
  <c r="N34" i="236"/>
  <c r="N57" i="236"/>
  <c r="N86" i="236"/>
  <c r="N35" i="236"/>
  <c r="N38" i="236"/>
  <c r="N66" i="236"/>
  <c r="N39" i="236"/>
  <c r="F81" i="236"/>
  <c r="I81" i="236" s="1"/>
  <c r="N52" i="236"/>
  <c r="N102" i="236"/>
  <c r="N101" i="236"/>
  <c r="I86" i="236"/>
  <c r="I50" i="236"/>
  <c r="F62" i="236"/>
  <c r="N50" i="236"/>
  <c r="N62" i="236"/>
  <c r="N81" i="236"/>
  <c r="D59" i="236" l="1"/>
  <c r="I59" i="236"/>
  <c r="N47" i="236"/>
  <c r="F103" i="236"/>
  <c r="I103" i="236" s="1"/>
  <c r="N103" i="236"/>
  <c r="N110" i="236" s="1"/>
  <c r="N59" i="236"/>
  <c r="D47" i="236"/>
  <c r="F29" i="236"/>
  <c r="K47" i="236"/>
  <c r="K59" i="236"/>
  <c r="F59" i="236"/>
  <c r="I62" i="236"/>
  <c r="F93" i="236"/>
  <c r="D110" i="236" l="1"/>
  <c r="I29" i="236"/>
  <c r="I47" i="236" s="1"/>
  <c r="F47" i="236"/>
  <c r="K110" i="236"/>
  <c r="F22" i="236"/>
  <c r="D26" i="236"/>
  <c r="N22" i="236"/>
  <c r="N26" i="236" s="1"/>
  <c r="K26" i="236"/>
  <c r="I93" i="236"/>
  <c r="I110" i="236" s="1"/>
  <c r="F110" i="236"/>
  <c r="F71" i="236" l="1"/>
  <c r="I71" i="236" s="1"/>
  <c r="N71" i="236"/>
  <c r="I22" i="236"/>
  <c r="I26" i="236" s="1"/>
  <c r="F26" i="236"/>
  <c r="N70" i="236" l="1"/>
  <c r="N83" i="236" s="1"/>
  <c r="K83" i="236"/>
  <c r="F70" i="236"/>
  <c r="D83" i="236"/>
  <c r="I70" i="236" l="1"/>
  <c r="I83" i="236" s="1"/>
  <c r="F83" i="236"/>
  <c r="F17" i="236" l="1"/>
  <c r="D19" i="236"/>
  <c r="D112" i="236" s="1"/>
  <c r="I17" i="236" l="1"/>
  <c r="I19" i="236" s="1"/>
  <c r="I112" i="236" s="1"/>
  <c r="F19" i="236"/>
  <c r="F112" i="236" s="1"/>
  <c r="N17" i="236" l="1"/>
  <c r="N19" i="236" s="1"/>
  <c r="N112" i="236" s="1"/>
  <c r="K19" i="236"/>
  <c r="K112" i="236" s="1"/>
  <c r="F175" i="236" l="1"/>
  <c r="D201" i="236"/>
  <c r="D230" i="236" l="1"/>
  <c r="F201" i="236"/>
  <c r="F230" i="236" s="1"/>
  <c r="I175" i="236"/>
  <c r="I201" i="236" s="1"/>
  <c r="I230" i="236" s="1"/>
  <c r="D17" i="3" s="1"/>
  <c r="N175" i="236" l="1"/>
  <c r="N201" i="236" s="1"/>
  <c r="N230" i="236" s="1"/>
  <c r="F17" i="3" s="1"/>
  <c r="K201" i="236"/>
  <c r="H26" i="10"/>
  <c r="H27" i="10" s="1"/>
  <c r="D19" i="3"/>
  <c r="H33" i="10" l="1"/>
  <c r="K230" i="236"/>
  <c r="F19" i="3"/>
  <c r="F175" i="209" l="1"/>
  <c r="D201" i="209"/>
  <c r="I175" i="209" l="1"/>
  <c r="I201" i="209" s="1"/>
  <c r="F201" i="209"/>
  <c r="D199" i="237"/>
  <c r="H173" i="237"/>
  <c r="H199" i="237" s="1"/>
  <c r="N175" i="209" l="1"/>
  <c r="N201" i="209" s="1"/>
  <c r="K201" i="209"/>
  <c r="F16" i="213" l="1"/>
  <c r="N16" i="213" l="1"/>
  <c r="I16" i="213"/>
  <c r="F16" i="209" l="1"/>
  <c r="H16" i="237"/>
  <c r="N16" i="209" l="1"/>
  <c r="I16" i="209"/>
  <c r="F55" i="213" l="1"/>
  <c r="I55" i="213" s="1"/>
  <c r="F51" i="213"/>
  <c r="I51" i="213" s="1"/>
  <c r="F95" i="213" l="1"/>
  <c r="I95" i="213" s="1"/>
  <c r="F103" i="213"/>
  <c r="I103" i="213" s="1"/>
  <c r="F89" i="213"/>
  <c r="I89" i="213" s="1"/>
  <c r="F37" i="213"/>
  <c r="I37" i="213" s="1"/>
  <c r="F31" i="213"/>
  <c r="I31" i="213" s="1"/>
  <c r="F99" i="213"/>
  <c r="I99" i="213" s="1"/>
  <c r="F40" i="213"/>
  <c r="I40" i="213" s="1"/>
  <c r="F97" i="213"/>
  <c r="I97" i="213" s="1"/>
  <c r="F56" i="213"/>
  <c r="I56" i="213" s="1"/>
  <c r="F76" i="213"/>
  <c r="I76" i="213" s="1"/>
  <c r="F80" i="213"/>
  <c r="I80" i="213" s="1"/>
  <c r="F91" i="213"/>
  <c r="I91" i="213" s="1"/>
  <c r="F45" i="213"/>
  <c r="I45" i="213" s="1"/>
  <c r="F63" i="213"/>
  <c r="I63" i="213" s="1"/>
  <c r="F72" i="213"/>
  <c r="I72" i="213" s="1"/>
  <c r="F78" i="213"/>
  <c r="I78" i="213" s="1"/>
  <c r="F70" i="213"/>
  <c r="I70" i="213" s="1"/>
  <c r="F42" i="213"/>
  <c r="I42" i="213" s="1"/>
  <c r="F44" i="213"/>
  <c r="I44" i="213" s="1"/>
  <c r="F41" i="213"/>
  <c r="I41" i="213" s="1"/>
  <c r="F36" i="213"/>
  <c r="I36" i="213" s="1"/>
  <c r="F65" i="213"/>
  <c r="I65" i="213" s="1"/>
  <c r="N51" i="213"/>
  <c r="F52" i="213"/>
  <c r="I52" i="213" s="1"/>
  <c r="F74" i="213"/>
  <c r="I74" i="213" s="1"/>
  <c r="N55" i="213"/>
  <c r="F43" i="213"/>
  <c r="I43" i="213" s="1"/>
  <c r="F105" i="213"/>
  <c r="I105" i="213" s="1"/>
  <c r="F71" i="213"/>
  <c r="I71" i="213" s="1"/>
  <c r="F17" i="213" l="1"/>
  <c r="D19" i="213"/>
  <c r="N71" i="213"/>
  <c r="N52" i="213"/>
  <c r="F38" i="213"/>
  <c r="I38" i="213" s="1"/>
  <c r="N36" i="213"/>
  <c r="F93" i="213"/>
  <c r="I93" i="213" s="1"/>
  <c r="N63" i="213"/>
  <c r="F54" i="213"/>
  <c r="I54" i="213" s="1"/>
  <c r="N76" i="213"/>
  <c r="N97" i="213"/>
  <c r="F77" i="213"/>
  <c r="I77" i="213" s="1"/>
  <c r="F87" i="213"/>
  <c r="I87" i="213" s="1"/>
  <c r="N37" i="213"/>
  <c r="F23" i="213"/>
  <c r="I23" i="213" s="1"/>
  <c r="F94" i="213"/>
  <c r="I94" i="213" s="1"/>
  <c r="F24" i="213"/>
  <c r="I24" i="213" s="1"/>
  <c r="F73" i="213"/>
  <c r="I73" i="213" s="1"/>
  <c r="F53" i="213"/>
  <c r="I53" i="213" s="1"/>
  <c r="N43" i="213"/>
  <c r="F35" i="213"/>
  <c r="I35" i="213" s="1"/>
  <c r="F81" i="213"/>
  <c r="I81" i="213" s="1"/>
  <c r="F98" i="213"/>
  <c r="I98" i="213" s="1"/>
  <c r="F68" i="213"/>
  <c r="I68" i="213" s="1"/>
  <c r="N44" i="213"/>
  <c r="F90" i="213"/>
  <c r="I90" i="213" s="1"/>
  <c r="F69" i="213"/>
  <c r="I69" i="213" s="1"/>
  <c r="F39" i="213"/>
  <c r="I39" i="213" s="1"/>
  <c r="F96" i="213"/>
  <c r="I96" i="213" s="1"/>
  <c r="N56" i="213"/>
  <c r="F33" i="213"/>
  <c r="I33" i="213" s="1"/>
  <c r="N99" i="213"/>
  <c r="F67" i="213"/>
  <c r="I67" i="213" s="1"/>
  <c r="F102" i="213"/>
  <c r="I102" i="213" s="1"/>
  <c r="F92" i="213"/>
  <c r="I92" i="213" s="1"/>
  <c r="N74" i="213"/>
  <c r="F34" i="213"/>
  <c r="I34" i="213" s="1"/>
  <c r="N41" i="213"/>
  <c r="F88" i="213"/>
  <c r="I88" i="213" s="1"/>
  <c r="N42" i="213"/>
  <c r="F79" i="213"/>
  <c r="I79" i="213" s="1"/>
  <c r="N70" i="213"/>
  <c r="N78" i="213"/>
  <c r="F104" i="213"/>
  <c r="I104" i="213" s="1"/>
  <c r="N45" i="213"/>
  <c r="N91" i="213"/>
  <c r="N80" i="213"/>
  <c r="N40" i="213"/>
  <c r="F75" i="213"/>
  <c r="I75" i="213" s="1"/>
  <c r="F57" i="213"/>
  <c r="I57" i="213" s="1"/>
  <c r="N103" i="213"/>
  <c r="N95" i="213"/>
  <c r="F30" i="213"/>
  <c r="I30" i="213" s="1"/>
  <c r="N105" i="213"/>
  <c r="F100" i="213"/>
  <c r="I100" i="213" s="1"/>
  <c r="N65" i="213"/>
  <c r="N72" i="213"/>
  <c r="F66" i="213"/>
  <c r="I66" i="213" s="1"/>
  <c r="N31" i="213"/>
  <c r="F64" i="213"/>
  <c r="I64" i="213" s="1"/>
  <c r="N89" i="213"/>
  <c r="F101" i="213"/>
  <c r="I101" i="213" s="1"/>
  <c r="F32" i="213"/>
  <c r="I32" i="213" s="1"/>
  <c r="F22" i="213" l="1"/>
  <c r="D26" i="213"/>
  <c r="D83" i="213"/>
  <c r="F62" i="213"/>
  <c r="F86" i="213"/>
  <c r="D107" i="213"/>
  <c r="F50" i="213"/>
  <c r="D59" i="213"/>
  <c r="N17" i="213"/>
  <c r="N19" i="213" s="1"/>
  <c r="K19" i="213"/>
  <c r="F29" i="213"/>
  <c r="D47" i="213"/>
  <c r="I17" i="213"/>
  <c r="I19" i="213" s="1"/>
  <c r="F19" i="213"/>
  <c r="F36" i="209"/>
  <c r="I36" i="209" s="1"/>
  <c r="H41" i="237"/>
  <c r="H55" i="237"/>
  <c r="H91" i="237"/>
  <c r="H72" i="237"/>
  <c r="H89" i="237"/>
  <c r="H80" i="237"/>
  <c r="H24" i="237"/>
  <c r="H99" i="237"/>
  <c r="H78" i="237"/>
  <c r="F52" i="209"/>
  <c r="I52" i="209" s="1"/>
  <c r="H76" i="237"/>
  <c r="F63" i="209"/>
  <c r="I63" i="209" s="1"/>
  <c r="F24" i="209"/>
  <c r="I24" i="209" s="1"/>
  <c r="F91" i="209"/>
  <c r="I91" i="209" s="1"/>
  <c r="N32" i="213"/>
  <c r="N75" i="213"/>
  <c r="N79" i="213"/>
  <c r="N34" i="213"/>
  <c r="N33" i="213"/>
  <c r="N96" i="213"/>
  <c r="N69" i="213"/>
  <c r="N73" i="213"/>
  <c r="N94" i="213"/>
  <c r="N77" i="213"/>
  <c r="N54" i="213"/>
  <c r="N93" i="213"/>
  <c r="N64" i="213"/>
  <c r="N92" i="213"/>
  <c r="N67" i="213"/>
  <c r="N24" i="213"/>
  <c r="F89" i="209"/>
  <c r="I89" i="209" s="1"/>
  <c r="N101" i="213"/>
  <c r="N30" i="213"/>
  <c r="N104" i="213"/>
  <c r="N39" i="213"/>
  <c r="N90" i="213"/>
  <c r="N68" i="213"/>
  <c r="N81" i="213"/>
  <c r="N23" i="213"/>
  <c r="N87" i="213"/>
  <c r="N66" i="213"/>
  <c r="N100" i="213"/>
  <c r="N57" i="213"/>
  <c r="N88" i="213"/>
  <c r="N102" i="213"/>
  <c r="N98" i="213"/>
  <c r="N35" i="213"/>
  <c r="N53" i="213"/>
  <c r="F80" i="209"/>
  <c r="I80" i="209" s="1"/>
  <c r="N38" i="213"/>
  <c r="F99" i="209"/>
  <c r="I99" i="209" s="1"/>
  <c r="F41" i="209"/>
  <c r="I41" i="209" s="1"/>
  <c r="D109" i="213" l="1"/>
  <c r="H35" i="237"/>
  <c r="N29" i="213"/>
  <c r="N47" i="213" s="1"/>
  <c r="K47" i="213"/>
  <c r="I29" i="213"/>
  <c r="I47" i="213" s="1"/>
  <c r="G19" i="10" s="1"/>
  <c r="F47" i="213"/>
  <c r="I50" i="213"/>
  <c r="I59" i="213" s="1"/>
  <c r="G20" i="10" s="1"/>
  <c r="F59" i="213"/>
  <c r="K83" i="213"/>
  <c r="N62" i="213"/>
  <c r="N83" i="213" s="1"/>
  <c r="F76" i="209"/>
  <c r="I76" i="209" s="1"/>
  <c r="H52" i="237"/>
  <c r="G17" i="10"/>
  <c r="N22" i="213"/>
  <c r="N26" i="213" s="1"/>
  <c r="K26" i="213"/>
  <c r="I86" i="213"/>
  <c r="I107" i="213" s="1"/>
  <c r="G22" i="10" s="1"/>
  <c r="F107" i="213"/>
  <c r="N50" i="213"/>
  <c r="N59" i="213" s="1"/>
  <c r="K59" i="213"/>
  <c r="N86" i="213"/>
  <c r="N107" i="213" s="1"/>
  <c r="K107" i="213"/>
  <c r="I62" i="213"/>
  <c r="I83" i="213" s="1"/>
  <c r="G21" i="10" s="1"/>
  <c r="F83" i="213"/>
  <c r="I22" i="213"/>
  <c r="I26" i="213" s="1"/>
  <c r="G18" i="10" s="1"/>
  <c r="F26" i="213"/>
  <c r="F78" i="209"/>
  <c r="I78" i="209" s="1"/>
  <c r="F72" i="209"/>
  <c r="I72" i="209" s="1"/>
  <c r="N76" i="209"/>
  <c r="H104" i="237"/>
  <c r="H73" i="237"/>
  <c r="H53" i="237"/>
  <c r="F79" i="209"/>
  <c r="I79" i="209" s="1"/>
  <c r="H45" i="237"/>
  <c r="H92" i="237"/>
  <c r="H40" i="237"/>
  <c r="H68" i="237"/>
  <c r="H64" i="237"/>
  <c r="H42" i="237"/>
  <c r="H96" i="237"/>
  <c r="H54" i="237"/>
  <c r="H69" i="237"/>
  <c r="H37" i="237"/>
  <c r="H66" i="237"/>
  <c r="H34" i="237"/>
  <c r="F100" i="209"/>
  <c r="I100" i="209" s="1"/>
  <c r="H98" i="237"/>
  <c r="H74" i="237"/>
  <c r="H87" i="237"/>
  <c r="F38" i="209"/>
  <c r="I38" i="209" s="1"/>
  <c r="F97" i="209"/>
  <c r="I97" i="209" s="1"/>
  <c r="H36" i="237"/>
  <c r="F55" i="209"/>
  <c r="I55" i="209" s="1"/>
  <c r="N63" i="209"/>
  <c r="H63" i="237"/>
  <c r="F95" i="209"/>
  <c r="I95" i="209" s="1"/>
  <c r="F65" i="209"/>
  <c r="I65" i="209" s="1"/>
  <c r="F44" i="209"/>
  <c r="I44" i="209" s="1"/>
  <c r="F43" i="209"/>
  <c r="I43" i="209" s="1"/>
  <c r="N36" i="209"/>
  <c r="N52" i="209"/>
  <c r="N91" i="209"/>
  <c r="N24" i="209"/>
  <c r="F66" i="209"/>
  <c r="I66" i="209" s="1"/>
  <c r="F98" i="209"/>
  <c r="I98" i="209" s="1"/>
  <c r="F37" i="209"/>
  <c r="I37" i="209" s="1"/>
  <c r="N38" i="209"/>
  <c r="N98" i="209"/>
  <c r="N41" i="209"/>
  <c r="N57" i="209"/>
  <c r="F104" i="209"/>
  <c r="I104" i="209" s="1"/>
  <c r="N78" i="209"/>
  <c r="N89" i="209"/>
  <c r="F34" i="209"/>
  <c r="I34" i="209" s="1"/>
  <c r="N80" i="209"/>
  <c r="N99" i="209"/>
  <c r="F96" i="209"/>
  <c r="I96" i="209" s="1"/>
  <c r="N72" i="209"/>
  <c r="D230" i="213" l="1"/>
  <c r="H62" i="237"/>
  <c r="C25" i="238"/>
  <c r="I109" i="213"/>
  <c r="I230" i="213" s="1"/>
  <c r="D15" i="137" s="1"/>
  <c r="F57" i="209"/>
  <c r="I57" i="209" s="1"/>
  <c r="F109" i="213"/>
  <c r="F230" i="213" s="1"/>
  <c r="N109" i="213"/>
  <c r="N230" i="213" s="1"/>
  <c r="F15" i="137" s="1"/>
  <c r="F62" i="209"/>
  <c r="F86" i="209"/>
  <c r="H50" i="237"/>
  <c r="G25" i="10"/>
  <c r="K109" i="213"/>
  <c r="F74" i="209"/>
  <c r="I74" i="209" s="1"/>
  <c r="F68" i="209"/>
  <c r="I68" i="209" s="1"/>
  <c r="H57" i="237"/>
  <c r="F40" i="209"/>
  <c r="I40" i="209" s="1"/>
  <c r="F87" i="209"/>
  <c r="I87" i="209" s="1"/>
  <c r="F54" i="209"/>
  <c r="I54" i="209" s="1"/>
  <c r="H23" i="237"/>
  <c r="H30" i="237"/>
  <c r="H39" i="237"/>
  <c r="H101" i="237"/>
  <c r="F31" i="209"/>
  <c r="I31" i="209" s="1"/>
  <c r="H105" i="237"/>
  <c r="H33" i="237"/>
  <c r="H77" i="237"/>
  <c r="H75" i="237"/>
  <c r="H67" i="237"/>
  <c r="H102" i="237"/>
  <c r="N43" i="209"/>
  <c r="N65" i="209"/>
  <c r="N97" i="209"/>
  <c r="F56" i="209"/>
  <c r="I56" i="209" s="1"/>
  <c r="F64" i="209"/>
  <c r="I64" i="209" s="1"/>
  <c r="N55" i="209"/>
  <c r="H43" i="237"/>
  <c r="H65" i="237"/>
  <c r="H97" i="237"/>
  <c r="H100" i="237"/>
  <c r="F88" i="209"/>
  <c r="I88" i="209" s="1"/>
  <c r="F90" i="209"/>
  <c r="I90" i="209" s="1"/>
  <c r="F94" i="209"/>
  <c r="I94" i="209" s="1"/>
  <c r="H79" i="237"/>
  <c r="N44" i="209"/>
  <c r="N95" i="209"/>
  <c r="F51" i="209"/>
  <c r="I51" i="209" s="1"/>
  <c r="F53" i="209"/>
  <c r="I53" i="209" s="1"/>
  <c r="H44" i="237"/>
  <c r="H95" i="237"/>
  <c r="H38" i="237"/>
  <c r="F32" i="209"/>
  <c r="I32" i="209" s="1"/>
  <c r="F81" i="209"/>
  <c r="I81" i="209" s="1"/>
  <c r="N66" i="209"/>
  <c r="F39" i="209"/>
  <c r="I39" i="209" s="1"/>
  <c r="N42" i="209"/>
  <c r="N54" i="209"/>
  <c r="F30" i="209"/>
  <c r="I30" i="209" s="1"/>
  <c r="N92" i="209"/>
  <c r="N37" i="209"/>
  <c r="N100" i="209"/>
  <c r="N68" i="209"/>
  <c r="N45" i="209"/>
  <c r="N87" i="209"/>
  <c r="N34" i="209"/>
  <c r="F102" i="209"/>
  <c r="I102" i="209" s="1"/>
  <c r="F101" i="209"/>
  <c r="I101" i="209" s="1"/>
  <c r="N40" i="209"/>
  <c r="N104" i="209"/>
  <c r="F23" i="209"/>
  <c r="I23" i="209" s="1"/>
  <c r="N96" i="209"/>
  <c r="N79" i="209"/>
  <c r="F67" i="209"/>
  <c r="I67" i="209" s="1"/>
  <c r="F33" i="209"/>
  <c r="I33" i="209" s="1"/>
  <c r="N62" i="209" l="1"/>
  <c r="F69" i="209"/>
  <c r="I69" i="209" s="1"/>
  <c r="H86" i="237"/>
  <c r="F45" i="209"/>
  <c r="I45" i="209" s="1"/>
  <c r="D16" i="222"/>
  <c r="N50" i="209"/>
  <c r="F92" i="209"/>
  <c r="I92" i="209" s="1"/>
  <c r="N86" i="209"/>
  <c r="F50" i="209"/>
  <c r="D59" i="209"/>
  <c r="I62" i="209"/>
  <c r="D25" i="238"/>
  <c r="E16" i="222" s="1"/>
  <c r="N73" i="209"/>
  <c r="F73" i="209"/>
  <c r="I73" i="209" s="1"/>
  <c r="F29" i="209"/>
  <c r="F42" i="209"/>
  <c r="I42" i="209" s="1"/>
  <c r="K230" i="213"/>
  <c r="F35" i="209"/>
  <c r="I35" i="209" s="1"/>
  <c r="N35" i="209"/>
  <c r="I86" i="209"/>
  <c r="F77" i="209"/>
  <c r="I77" i="209" s="1"/>
  <c r="F75" i="209"/>
  <c r="I75" i="209" s="1"/>
  <c r="H56" i="237"/>
  <c r="H31" i="237"/>
  <c r="N74" i="209"/>
  <c r="F105" i="209"/>
  <c r="I105" i="209" s="1"/>
  <c r="N81" i="209"/>
  <c r="N94" i="209"/>
  <c r="H81" i="237"/>
  <c r="N51" i="209"/>
  <c r="H94" i="237"/>
  <c r="N56" i="209"/>
  <c r="H93" i="237"/>
  <c r="N32" i="209"/>
  <c r="N90" i="209"/>
  <c r="N88" i="209"/>
  <c r="N53" i="209"/>
  <c r="N64" i="209"/>
  <c r="N69" i="209"/>
  <c r="H32" i="237"/>
  <c r="H90" i="237"/>
  <c r="H88" i="237"/>
  <c r="N39" i="209"/>
  <c r="N30" i="209"/>
  <c r="N101" i="209"/>
  <c r="N33" i="209"/>
  <c r="N105" i="209"/>
  <c r="F93" i="209"/>
  <c r="I93" i="209" s="1"/>
  <c r="N67" i="209"/>
  <c r="N102" i="209"/>
  <c r="N31" i="209"/>
  <c r="N23" i="209"/>
  <c r="N77" i="209"/>
  <c r="N75" i="209"/>
  <c r="D47" i="209" l="1"/>
  <c r="H29" i="237"/>
  <c r="H47" i="237" s="1"/>
  <c r="D47" i="237"/>
  <c r="E25" i="238"/>
  <c r="F16" i="222" s="1"/>
  <c r="N59" i="209"/>
  <c r="H51" i="237"/>
  <c r="H59" i="237" s="1"/>
  <c r="D59" i="237"/>
  <c r="I29" i="209"/>
  <c r="I47" i="209" s="1"/>
  <c r="F47" i="209"/>
  <c r="F59" i="209"/>
  <c r="I50" i="209"/>
  <c r="I59" i="209" s="1"/>
  <c r="N29" i="209"/>
  <c r="N47" i="209" s="1"/>
  <c r="K47" i="209"/>
  <c r="K59" i="209"/>
  <c r="F103" i="209"/>
  <c r="I103" i="209" s="1"/>
  <c r="I110" i="209" s="1"/>
  <c r="N93" i="209"/>
  <c r="D110" i="209" l="1"/>
  <c r="F110" i="209"/>
  <c r="H22" i="237"/>
  <c r="H26" i="237" s="1"/>
  <c r="D26" i="237"/>
  <c r="F25" i="238"/>
  <c r="N103" i="209"/>
  <c r="N110" i="209" s="1"/>
  <c r="F71" i="209"/>
  <c r="I71" i="209" s="1"/>
  <c r="K110" i="209" l="1"/>
  <c r="G16" i="222"/>
  <c r="G25" i="238"/>
  <c r="H16" i="222" s="1"/>
  <c r="F70" i="209"/>
  <c r="D83" i="209"/>
  <c r="H103" i="237"/>
  <c r="H108" i="237" s="1"/>
  <c r="D108" i="237"/>
  <c r="H71" i="237"/>
  <c r="N71" i="209"/>
  <c r="N70" i="209" l="1"/>
  <c r="N83" i="209" s="1"/>
  <c r="K83" i="209"/>
  <c r="I70" i="209"/>
  <c r="I83" i="209" s="1"/>
  <c r="F83" i="209"/>
  <c r="H70" i="237"/>
  <c r="H83" i="237" s="1"/>
  <c r="D83" i="237"/>
  <c r="H25" i="238"/>
  <c r="I16" i="222" s="1"/>
  <c r="D26" i="209"/>
  <c r="F22" i="209"/>
  <c r="N22" i="209"/>
  <c r="N26" i="209" s="1"/>
  <c r="K26" i="209"/>
  <c r="I25" i="238" l="1"/>
  <c r="J16" i="222" s="1"/>
  <c r="I22" i="209"/>
  <c r="I26" i="209" s="1"/>
  <c r="F26" i="209"/>
  <c r="J25" i="238" l="1"/>
  <c r="K16" i="222" s="1"/>
  <c r="K25" i="238" l="1"/>
  <c r="L16" i="222" s="1"/>
  <c r="L25" i="238" l="1"/>
  <c r="M16" i="222" s="1"/>
  <c r="N25" i="238" l="1"/>
  <c r="M25" i="238"/>
  <c r="N16" i="222" s="1"/>
  <c r="O16" i="222" l="1"/>
  <c r="P16" i="222" s="1"/>
  <c r="O25" i="238"/>
  <c r="D18" i="48" l="1"/>
  <c r="D20" i="48" s="1"/>
  <c r="D172" i="79"/>
  <c r="L28" i="42" l="1"/>
  <c r="K27" i="46"/>
  <c r="D21" i="48"/>
  <c r="H168" i="51"/>
  <c r="F27" i="46" l="1"/>
  <c r="O27" i="46"/>
  <c r="F21" i="47" s="1"/>
  <c r="H170" i="51"/>
  <c r="H172" i="51" s="1"/>
  <c r="P168" i="51"/>
  <c r="P170" i="51" s="1"/>
  <c r="P172" i="51" s="1"/>
  <c r="F17" i="209" l="1"/>
  <c r="D19" i="209"/>
  <c r="D112" i="209" s="1"/>
  <c r="H17" i="237"/>
  <c r="H19" i="237" s="1"/>
  <c r="H110" i="237" s="1"/>
  <c r="H228" i="237" s="1"/>
  <c r="D19" i="237"/>
  <c r="D110" i="237" s="1"/>
  <c r="D228" i="237" l="1"/>
  <c r="G14" i="222"/>
  <c r="L14" i="222"/>
  <c r="N14" i="222"/>
  <c r="J14" i="222"/>
  <c r="E14" i="222"/>
  <c r="D14" i="222"/>
  <c r="M14" i="222"/>
  <c r="K14" i="222"/>
  <c r="F14" i="222"/>
  <c r="H14" i="222"/>
  <c r="O14" i="222"/>
  <c r="I14" i="222"/>
  <c r="D230" i="209"/>
  <c r="N17" i="209"/>
  <c r="N19" i="209" s="1"/>
  <c r="N112" i="209" s="1"/>
  <c r="N230" i="209" s="1"/>
  <c r="F17" i="137" s="1"/>
  <c r="K19" i="209"/>
  <c r="K112" i="209" s="1"/>
  <c r="I17" i="209"/>
  <c r="I19" i="209" s="1"/>
  <c r="I112" i="209" s="1"/>
  <c r="I230" i="209" s="1"/>
  <c r="D17" i="137" s="1"/>
  <c r="F19" i="209"/>
  <c r="F112" i="209" s="1"/>
  <c r="F230" i="209" s="1"/>
  <c r="G26" i="10" l="1"/>
  <c r="G27" i="10" s="1"/>
  <c r="G33" i="10" s="1"/>
  <c r="D19" i="137"/>
  <c r="P14" i="222"/>
  <c r="K230" i="209"/>
  <c r="F19" i="137"/>
  <c r="D171" i="79" l="1"/>
  <c r="D13" i="48"/>
  <c r="D15" i="48" s="1"/>
  <c r="F155" i="51" l="1"/>
  <c r="D16" i="48"/>
  <c r="O26" i="46"/>
  <c r="K26" i="46"/>
  <c r="M26" i="46" l="1"/>
  <c r="F20" i="47"/>
  <c r="F159" i="51"/>
  <c r="P155" i="51"/>
  <c r="L27" i="42"/>
  <c r="F26" i="46"/>
  <c r="J20" i="47" l="1"/>
  <c r="F161" i="51"/>
  <c r="F163" i="51" s="1"/>
  <c r="P159" i="51"/>
  <c r="P161" i="51" s="1"/>
  <c r="P163" i="51" s="1"/>
  <c r="P45" i="44" l="1"/>
  <c r="D103" i="45" s="1"/>
  <c r="D104" i="45" s="1"/>
  <c r="J21" i="42" l="1"/>
  <c r="J22" i="42" s="1"/>
  <c r="D34" i="51"/>
  <c r="D36" i="51" s="1"/>
  <c r="D38" i="51" s="1"/>
  <c r="D17" i="46"/>
  <c r="D59" i="50"/>
  <c r="D18" i="47" l="1"/>
  <c r="F17" i="46"/>
  <c r="D60" i="50"/>
  <c r="D66" i="50"/>
  <c r="D67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H16" i="5" l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7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D45" i="231" l="1"/>
  <c r="G45" i="231" s="1"/>
  <c r="D43" i="231"/>
  <c r="G43" i="231" s="1"/>
  <c r="J19" i="230"/>
  <c r="D32" i="231"/>
  <c r="G32" i="231" s="1"/>
  <c r="D15" i="231"/>
  <c r="G15" i="231" s="1"/>
  <c r="L47" i="230" l="1"/>
  <c r="N47" i="230"/>
  <c r="D39" i="231"/>
  <c r="P47" i="230"/>
  <c r="Q41" i="230"/>
  <c r="I43" i="231" s="1"/>
  <c r="L43" i="231" s="1"/>
  <c r="I47" i="230"/>
  <c r="Q39" i="230"/>
  <c r="I39" i="231" s="1"/>
  <c r="K47" i="230"/>
  <c r="Q43" i="230"/>
  <c r="I45" i="231" s="1"/>
  <c r="L45" i="231" s="1"/>
  <c r="M47" i="230"/>
  <c r="J47" i="230"/>
  <c r="O47" i="230"/>
  <c r="I19" i="230"/>
  <c r="Q15" i="230"/>
  <c r="I15" i="231" s="1"/>
  <c r="L15" i="231" s="1"/>
  <c r="K19" i="230"/>
  <c r="Q32" i="230"/>
  <c r="I32" i="231" s="1"/>
  <c r="L32" i="231" s="1"/>
  <c r="I36" i="230"/>
  <c r="J36" i="230"/>
  <c r="K36" i="230"/>
  <c r="Q47" i="230" l="1"/>
  <c r="L39" i="231"/>
  <c r="L47" i="231" s="1"/>
  <c r="I47" i="231"/>
  <c r="G39" i="231"/>
  <c r="G47" i="231" s="1"/>
  <c r="D47" i="231"/>
  <c r="L36" i="230"/>
  <c r="M19" i="230" l="1"/>
  <c r="L19" i="230"/>
  <c r="M36" i="230"/>
  <c r="N19" i="230" l="1"/>
  <c r="D13" i="231" l="1"/>
  <c r="N36" i="230"/>
  <c r="O36" i="230"/>
  <c r="G13" i="231" l="1"/>
  <c r="O19" i="230"/>
  <c r="Q13" i="230"/>
  <c r="I13" i="231" s="1"/>
  <c r="L13" i="231" l="1"/>
  <c r="D17" i="231"/>
  <c r="Q17" i="230"/>
  <c r="I17" i="231" s="1"/>
  <c r="L17" i="231" s="1"/>
  <c r="P19" i="230"/>
  <c r="P36" i="230"/>
  <c r="D30" i="231"/>
  <c r="Q30" i="230"/>
  <c r="I30" i="231" s="1"/>
  <c r="I19" i="231" l="1"/>
  <c r="Q19" i="230"/>
  <c r="G17" i="231"/>
  <c r="G19" i="231" s="1"/>
  <c r="D19" i="231"/>
  <c r="L19" i="231"/>
  <c r="D36" i="231"/>
  <c r="G30" i="231"/>
  <c r="G36" i="231" s="1"/>
  <c r="I36" i="231"/>
  <c r="L30" i="231"/>
  <c r="L36" i="231" s="1"/>
  <c r="Q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E49" i="233" s="1"/>
  <c r="D28" i="233"/>
  <c r="D49" i="233" l="1"/>
  <c r="F28" i="233" l="1"/>
  <c r="G28" i="233"/>
  <c r="G49" i="233" s="1"/>
  <c r="H28" i="233" l="1"/>
  <c r="H49" i="233" s="1"/>
  <c r="F49" i="233"/>
  <c r="I28" i="233" l="1"/>
  <c r="I49" i="233" s="1"/>
  <c r="K28" i="233" l="1"/>
  <c r="K49" i="233" s="1"/>
  <c r="J28" i="233"/>
  <c r="D24" i="232"/>
  <c r="G24" i="232" s="1"/>
  <c r="Q24" i="233"/>
  <c r="I24" i="232" s="1"/>
  <c r="L24" i="232" s="1"/>
  <c r="J49" i="233" l="1"/>
  <c r="L28" i="233"/>
  <c r="L49" i="233" s="1"/>
  <c r="M28" i="233" l="1"/>
  <c r="M49" i="233" s="1"/>
  <c r="N28" i="233" l="1"/>
  <c r="N49" i="233" s="1"/>
  <c r="D26" i="232"/>
  <c r="G26" i="232" s="1"/>
  <c r="Q26" i="233"/>
  <c r="I26" i="232" s="1"/>
  <c r="L26" i="232" s="1"/>
  <c r="O28" i="233" l="1"/>
  <c r="O49" i="233" s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O49" i="230"/>
  <c r="K49" i="230"/>
  <c r="H49" i="230"/>
  <c r="Q22" i="230"/>
  <c r="I22" i="231" s="1"/>
  <c r="D28" i="230"/>
  <c r="N49" i="230"/>
  <c r="J49" i="230"/>
  <c r="G49" i="230"/>
  <c r="M49" i="230"/>
  <c r="I49" i="230"/>
  <c r="P28" i="233"/>
  <c r="D22" i="232"/>
  <c r="Q22" i="233"/>
  <c r="I22" i="232" s="1"/>
  <c r="F49" i="230"/>
  <c r="P28" i="230"/>
  <c r="D22" i="231"/>
  <c r="L49" i="230"/>
  <c r="D28" i="231" l="1"/>
  <c r="D49" i="231" s="1"/>
  <c r="G22" i="231"/>
  <c r="G28" i="231" s="1"/>
  <c r="G49" i="231" s="1"/>
  <c r="D25" i="3" s="1"/>
  <c r="L22" i="232"/>
  <c r="L28" i="232" s="1"/>
  <c r="L49" i="232" s="1"/>
  <c r="I28" i="232"/>
  <c r="I49" i="232" s="1"/>
  <c r="P49" i="230"/>
  <c r="D28" i="232"/>
  <c r="D49" i="232" s="1"/>
  <c r="G22" i="232"/>
  <c r="G28" i="232" s="1"/>
  <c r="G49" i="232" s="1"/>
  <c r="D25" i="137" s="1"/>
  <c r="Q28" i="230"/>
  <c r="D49" i="230"/>
  <c r="P49" i="233"/>
  <c r="Q28" i="233"/>
  <c r="L22" i="231"/>
  <c r="L28" i="231" s="1"/>
  <c r="L49" i="231" s="1"/>
  <c r="I28" i="231"/>
  <c r="I49" i="231" s="1"/>
  <c r="F25" i="3" l="1"/>
  <c r="I79" i="232"/>
  <c r="I72" i="232"/>
  <c r="L53" i="232"/>
  <c r="F25" i="137" s="1"/>
  <c r="I81" i="232"/>
  <c r="I83" i="232" s="1"/>
  <c r="Q49" i="230"/>
  <c r="Q49" i="233"/>
  <c r="I75" i="232" l="1"/>
  <c r="I85" i="232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P48" i="192"/>
  <c r="F21" i="105"/>
  <c r="F23" i="105" s="1"/>
  <c r="E22" i="102"/>
  <c r="E24" i="102" s="1"/>
  <c r="P46" i="228"/>
  <c r="P89" i="51"/>
  <c r="C24" i="102" l="1"/>
  <c r="D25" i="36"/>
  <c r="H25" i="36" s="1"/>
  <c r="L35" i="35"/>
  <c r="M39" i="35"/>
  <c r="D23" i="36"/>
  <c r="H23" i="36" s="1"/>
  <c r="D20" i="36"/>
  <c r="H20" i="36" s="1"/>
  <c r="D22" i="36"/>
  <c r="H22" i="36" s="1"/>
  <c r="D21" i="36"/>
  <c r="H21" i="36" s="1"/>
  <c r="H17" i="36"/>
  <c r="D33" i="36"/>
  <c r="H33" i="36" s="1"/>
  <c r="E17" i="102"/>
  <c r="E19" i="102" s="1"/>
  <c r="C19" i="102"/>
  <c r="M46" i="35"/>
  <c r="L42" i="35"/>
  <c r="H146" i="51"/>
  <c r="H148" i="51" s="1"/>
  <c r="P28" i="192"/>
  <c r="P24" i="192"/>
  <c r="L25" i="35"/>
  <c r="M28" i="35"/>
  <c r="I17" i="102"/>
  <c r="I19" i="102" s="1"/>
  <c r="G19" i="102"/>
  <c r="D23" i="105"/>
  <c r="P25" i="192"/>
  <c r="P38" i="192"/>
  <c r="D56" i="100" s="1"/>
  <c r="F56" i="100" s="1"/>
  <c r="P21" i="192"/>
  <c r="P18" i="192"/>
  <c r="P36" i="192"/>
  <c r="D28" i="100" s="1"/>
  <c r="D29" i="100" s="1"/>
  <c r="P39" i="192"/>
  <c r="D57" i="100" s="1"/>
  <c r="F57" i="100" s="1"/>
  <c r="P37" i="192"/>
  <c r="D55" i="100" s="1"/>
  <c r="P32" i="192"/>
  <c r="P45" i="192"/>
  <c r="P30" i="192"/>
  <c r="P22" i="192"/>
  <c r="P33" i="192"/>
  <c r="P19" i="228"/>
  <c r="P25" i="228"/>
  <c r="P32" i="228"/>
  <c r="P47" i="192"/>
  <c r="N42" i="192"/>
  <c r="N50" i="192" s="1"/>
  <c r="D40" i="228"/>
  <c r="P29" i="192"/>
  <c r="P36" i="228"/>
  <c r="H56" i="100" s="1"/>
  <c r="J56" i="100" s="1"/>
  <c r="K42" i="192"/>
  <c r="K50" i="192" s="1"/>
  <c r="P17" i="192"/>
  <c r="P34" i="228"/>
  <c r="H28" i="100" s="1"/>
  <c r="G24" i="102"/>
  <c r="I22" i="102"/>
  <c r="I24" i="102" s="1"/>
  <c r="P31" i="192"/>
  <c r="P31" i="228"/>
  <c r="P41" i="228"/>
  <c r="M42" i="192"/>
  <c r="M50" i="192" s="1"/>
  <c r="L42" i="192"/>
  <c r="P23" i="192"/>
  <c r="P35" i="192"/>
  <c r="P26" i="192"/>
  <c r="P37" i="228"/>
  <c r="H57" i="100" s="1"/>
  <c r="J57" i="100" s="1"/>
  <c r="P43" i="192"/>
  <c r="P41" i="192"/>
  <c r="P46" i="192"/>
  <c r="P17" i="228"/>
  <c r="P20" i="192"/>
  <c r="P45" i="228"/>
  <c r="P34" i="192"/>
  <c r="O42" i="192"/>
  <c r="P19" i="192"/>
  <c r="P20" i="228"/>
  <c r="P40" i="192"/>
  <c r="P44" i="192"/>
  <c r="P27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P25" i="193" l="1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0" i="192"/>
  <c r="L52" i="192"/>
  <c r="L54" i="192" s="1"/>
  <c r="D48" i="228"/>
  <c r="D50" i="228"/>
  <c r="J28" i="100"/>
  <c r="J29" i="100" s="1"/>
  <c r="H29" i="100"/>
  <c r="K52" i="192"/>
  <c r="N52" i="192"/>
  <c r="N54" i="192" s="1"/>
  <c r="O50" i="192"/>
  <c r="O52" i="192"/>
  <c r="O54" i="192" s="1"/>
  <c r="M52" i="192"/>
  <c r="M54" i="192" s="1"/>
  <c r="P42" i="192"/>
  <c r="D59" i="100"/>
  <c r="F55" i="100"/>
  <c r="F59" i="100" s="1"/>
  <c r="P18" i="227" l="1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0" i="192"/>
  <c r="E40" i="228"/>
  <c r="D52" i="228"/>
  <c r="K54" i="192"/>
  <c r="P52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0" i="228"/>
  <c r="P54" i="192"/>
  <c r="E50" i="228"/>
  <c r="E48" i="228"/>
  <c r="P53" i="192" l="1"/>
  <c r="F22" i="227"/>
  <c r="D32" i="227"/>
  <c r="D30" i="227"/>
  <c r="P32" i="193"/>
  <c r="K34" i="193"/>
  <c r="F50" i="228"/>
  <c r="F52" i="228" s="1"/>
  <c r="F48" i="228"/>
  <c r="G40" i="228"/>
  <c r="E52" i="228"/>
  <c r="P16" i="228" l="1"/>
  <c r="P23" i="228"/>
  <c r="P34" i="193"/>
  <c r="P33" i="193" s="1"/>
  <c r="D34" i="227"/>
  <c r="F30" i="227"/>
  <c r="F32" i="227"/>
  <c r="F34" i="227" s="1"/>
  <c r="P28" i="228"/>
  <c r="G22" i="227"/>
  <c r="H40" i="228"/>
  <c r="J21" i="105"/>
  <c r="J23" i="105" s="1"/>
  <c r="H23" i="105"/>
  <c r="G50" i="228"/>
  <c r="G48" i="228"/>
  <c r="P38" i="228"/>
  <c r="P33" i="228"/>
  <c r="P35" i="228"/>
  <c r="H55" i="100" s="1"/>
  <c r="P30" i="228"/>
  <c r="P21" i="228"/>
  <c r="P29" i="228"/>
  <c r="P18" i="228"/>
  <c r="P27" i="228"/>
  <c r="P22" i="228"/>
  <c r="H22" i="227"/>
  <c r="H32" i="227" l="1"/>
  <c r="H34" i="227" s="1"/>
  <c r="H30" i="227"/>
  <c r="D15" i="49"/>
  <c r="G32" i="227"/>
  <c r="G34" i="227" s="1"/>
  <c r="G30" i="227"/>
  <c r="P26" i="228"/>
  <c r="P39" i="228"/>
  <c r="P15" i="228"/>
  <c r="G52" i="228"/>
  <c r="H50" i="228"/>
  <c r="H52" i="228" s="1"/>
  <c r="H48" i="228"/>
  <c r="H59" i="100"/>
  <c r="J55" i="100"/>
  <c r="J59" i="100" s="1"/>
  <c r="I40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2" i="228"/>
  <c r="J40" i="228"/>
  <c r="I50" i="228"/>
  <c r="I52" i="228" s="1"/>
  <c r="I48" i="228"/>
  <c r="P24" i="228"/>
  <c r="P71" i="51"/>
  <c r="P88" i="51"/>
  <c r="P104" i="51"/>
  <c r="P87" i="51"/>
  <c r="P85" i="51"/>
  <c r="P86" i="51"/>
  <c r="P90" i="51"/>
  <c r="P84" i="51" l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N26" i="35"/>
  <c r="O25" i="35"/>
  <c r="O24" i="35" s="1"/>
  <c r="N24" i="35" s="1"/>
  <c r="I34" i="227"/>
  <c r="K40" i="228"/>
  <c r="J50" i="228"/>
  <c r="J52" i="228" s="1"/>
  <c r="J48" i="228"/>
  <c r="P16" i="227"/>
  <c r="F34" i="250"/>
  <c r="P27" i="227"/>
  <c r="P15" i="227"/>
  <c r="P21" i="227"/>
  <c r="P19" i="227"/>
  <c r="P17" i="227"/>
  <c r="P20" i="227"/>
  <c r="L40" i="228" l="1"/>
  <c r="L48" i="228" s="1"/>
  <c r="P14" i="227"/>
  <c r="K50" i="228"/>
  <c r="K52" i="228" s="1"/>
  <c r="N25" i="35"/>
  <c r="O28" i="35"/>
  <c r="J32" i="227"/>
  <c r="J30" i="227"/>
  <c r="K22" i="227"/>
  <c r="K48" i="228"/>
  <c r="L20" i="36"/>
  <c r="J20" i="36" s="1"/>
  <c r="L21" i="36"/>
  <c r="J21" i="36" s="1"/>
  <c r="L23" i="36"/>
  <c r="J23" i="36" s="1"/>
  <c r="L22" i="36"/>
  <c r="J22" i="36" s="1"/>
  <c r="J17" i="36"/>
  <c r="F37" i="250"/>
  <c r="F33" i="250"/>
  <c r="L50" i="228" l="1"/>
  <c r="L52" i="228" s="1"/>
  <c r="L22" i="227"/>
  <c r="N36" i="35"/>
  <c r="O35" i="35"/>
  <c r="K32" i="227"/>
  <c r="K34" i="227" s="1"/>
  <c r="K30" i="227"/>
  <c r="J34" i="227"/>
  <c r="M40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3" i="228"/>
  <c r="O40" i="228"/>
  <c r="P44" i="228"/>
  <c r="N40" i="228"/>
  <c r="M50" i="228"/>
  <c r="M52" i="228" s="1"/>
  <c r="M48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0" i="228"/>
  <c r="N52" i="228" s="1"/>
  <c r="N48" i="228"/>
  <c r="O50" i="228"/>
  <c r="O48" i="228"/>
  <c r="P40" i="228"/>
  <c r="P48" i="228" s="1"/>
  <c r="P30" i="227" l="1"/>
  <c r="P138" i="51"/>
  <c r="F142" i="51"/>
  <c r="N32" i="227"/>
  <c r="N30" i="227"/>
  <c r="O52" i="228"/>
  <c r="P50" i="228"/>
  <c r="N34" i="227" l="1"/>
  <c r="P34" i="227" s="1"/>
  <c r="P32" i="227"/>
  <c r="P52" i="228"/>
  <c r="P33" i="227" l="1"/>
  <c r="P51" i="228"/>
  <c r="I27" i="102" l="1"/>
  <c r="E28" i="102" l="1"/>
  <c r="E29" i="102" s="1"/>
  <c r="J27" i="190"/>
  <c r="P30" i="226"/>
  <c r="P32" i="190"/>
  <c r="C29" i="102" l="1"/>
  <c r="J36" i="190"/>
  <c r="J38" i="190" s="1"/>
  <c r="J40" i="190" s="1"/>
  <c r="P35" i="190"/>
  <c r="I28" i="102"/>
  <c r="I29" i="102" s="1"/>
  <c r="G29" i="102"/>
  <c r="P20" i="190"/>
  <c r="P34" i="190"/>
  <c r="P23" i="190"/>
  <c r="P32" i="226"/>
  <c r="P22" i="226"/>
  <c r="H63" i="100" s="1"/>
  <c r="P18" i="226"/>
  <c r="P24" i="190"/>
  <c r="P21" i="226"/>
  <c r="H35" i="100" s="1"/>
  <c r="P33" i="226"/>
  <c r="P26" i="226"/>
  <c r="P28" i="190"/>
  <c r="J99" i="44" l="1"/>
  <c r="D35" i="100"/>
  <c r="F35" i="100" s="1"/>
  <c r="F36" i="100" s="1"/>
  <c r="D63" i="100"/>
  <c r="H66" i="100"/>
  <c r="J63" i="100"/>
  <c r="J66" i="100" s="1"/>
  <c r="J35" i="100"/>
  <c r="J36" i="100" s="1"/>
  <c r="H36" i="100"/>
  <c r="J110" i="44" l="1"/>
  <c r="D36" i="100"/>
  <c r="D66" i="100"/>
  <c r="F63" i="100"/>
  <c r="F66" i="100" s="1"/>
  <c r="P29" i="190" l="1"/>
  <c r="P27" i="226"/>
  <c r="P19" i="190" l="1"/>
  <c r="P30" i="190" l="1"/>
  <c r="P17" i="226"/>
  <c r="P22" i="190"/>
  <c r="P18" i="190"/>
  <c r="D28" i="105" l="1"/>
  <c r="D35" i="105" s="1"/>
  <c r="F26" i="105"/>
  <c r="F28" i="105" s="1"/>
  <c r="F35" i="105" s="1"/>
  <c r="P20" i="226"/>
  <c r="P16" i="226"/>
  <c r="P31" i="190"/>
  <c r="H28" i="105" l="1"/>
  <c r="H35" i="105" s="1"/>
  <c r="J26" i="105"/>
  <c r="J28" i="105" s="1"/>
  <c r="J35" i="105" s="1"/>
  <c r="P28" i="226"/>
  <c r="P29" i="226"/>
  <c r="P21" i="190" l="1"/>
  <c r="P17" i="190"/>
  <c r="N27" i="190"/>
  <c r="P26" i="190"/>
  <c r="O27" i="190"/>
  <c r="O36" i="190" s="1"/>
  <c r="P33" i="190"/>
  <c r="P25" i="190"/>
  <c r="M27" i="190"/>
  <c r="M36" i="190" s="1"/>
  <c r="L27" i="190"/>
  <c r="E25" i="226"/>
  <c r="G25" i="226"/>
  <c r="G34" i="226" s="1"/>
  <c r="P19" i="226" l="1"/>
  <c r="P31" i="226"/>
  <c r="P23" i="226"/>
  <c r="P24" i="226"/>
  <c r="I25" i="226"/>
  <c r="I34" i="226" s="1"/>
  <c r="L36" i="190"/>
  <c r="L38" i="190"/>
  <c r="L40" i="190" s="1"/>
  <c r="L99" i="44" s="1"/>
  <c r="G36" i="226"/>
  <c r="G38" i="226" s="1"/>
  <c r="G99" i="222" s="1"/>
  <c r="N36" i="190"/>
  <c r="N38" i="190"/>
  <c r="N40" i="190" s="1"/>
  <c r="N99" i="44" s="1"/>
  <c r="N25" i="226"/>
  <c r="P15" i="226"/>
  <c r="M25" i="226"/>
  <c r="H25" i="226"/>
  <c r="P16" i="190"/>
  <c r="K27" i="190"/>
  <c r="L25" i="226"/>
  <c r="K25" i="226"/>
  <c r="K34" i="226" s="1"/>
  <c r="E34" i="226"/>
  <c r="E36" i="226"/>
  <c r="E38" i="226" s="1"/>
  <c r="E99" i="222" s="1"/>
  <c r="F25" i="226"/>
  <c r="F34" i="226" s="1"/>
  <c r="M38" i="190"/>
  <c r="M40" i="190" s="1"/>
  <c r="M99" i="44" s="1"/>
  <c r="O38" i="190"/>
  <c r="O40" i="190" s="1"/>
  <c r="O99" i="44" s="1"/>
  <c r="D25" i="226"/>
  <c r="P14" i="226" l="1"/>
  <c r="L36" i="226"/>
  <c r="L38" i="226" s="1"/>
  <c r="L99" i="222" s="1"/>
  <c r="L34" i="226"/>
  <c r="F36" i="226"/>
  <c r="F38" i="226" s="1"/>
  <c r="F99" i="222" s="1"/>
  <c r="H34" i="226"/>
  <c r="H36" i="226"/>
  <c r="H38" i="226" s="1"/>
  <c r="H99" i="222" s="1"/>
  <c r="M34" i="226"/>
  <c r="M36" i="226"/>
  <c r="M38" i="226" s="1"/>
  <c r="M99" i="222" s="1"/>
  <c r="N34" i="226"/>
  <c r="N36" i="226"/>
  <c r="N38" i="226" s="1"/>
  <c r="N99" i="222" s="1"/>
  <c r="I36" i="226"/>
  <c r="I38" i="226" s="1"/>
  <c r="I99" i="222" s="1"/>
  <c r="D36" i="226"/>
  <c r="D38" i="226" s="1"/>
  <c r="J25" i="226"/>
  <c r="J34" i="226" s="1"/>
  <c r="P27" i="190"/>
  <c r="D34" i="226"/>
  <c r="K36" i="226"/>
  <c r="K38" i="226" s="1"/>
  <c r="K99" i="222" s="1"/>
  <c r="K36" i="190"/>
  <c r="O25" i="226"/>
  <c r="O36" i="226" l="1"/>
  <c r="O38" i="226" s="1"/>
  <c r="O99" i="222" s="1"/>
  <c r="K38" i="190"/>
  <c r="F17" i="250"/>
  <c r="P25" i="226"/>
  <c r="P34" i="226" s="1"/>
  <c r="J36" i="226"/>
  <c r="J38" i="226" s="1"/>
  <c r="J99" i="222" s="1"/>
  <c r="F28" i="250"/>
  <c r="D99" i="222"/>
  <c r="F30" i="250"/>
  <c r="F27" i="250"/>
  <c r="O34" i="226"/>
  <c r="F31" i="250"/>
  <c r="F15" i="250"/>
  <c r="P36" i="190"/>
  <c r="P38" i="226" l="1"/>
  <c r="F39" i="250"/>
  <c r="F23" i="250"/>
  <c r="P38" i="190"/>
  <c r="K40" i="190"/>
  <c r="P99" i="222"/>
  <c r="F41" i="250" l="1"/>
  <c r="M25" i="46" s="1"/>
  <c r="L26" i="42"/>
  <c r="D154" i="79"/>
  <c r="P40" i="190"/>
  <c r="K99" i="44"/>
  <c r="P39" i="190" l="1"/>
  <c r="P99" i="44"/>
  <c r="J26" i="42" l="1"/>
  <c r="D158" i="45"/>
  <c r="N121" i="51"/>
  <c r="D121" i="51" l="1"/>
  <c r="P121" i="51"/>
  <c r="N142" i="51"/>
  <c r="N134" i="51"/>
  <c r="D142" i="51" l="1"/>
  <c r="D144" i="51" s="1"/>
  <c r="P61" i="44" l="1"/>
  <c r="D68" i="45" s="1"/>
  <c r="P59" i="44"/>
  <c r="D62" i="45" s="1"/>
  <c r="D64" i="51" s="1"/>
  <c r="P61" i="222"/>
  <c r="D64" i="79" s="1"/>
  <c r="P59" i="222"/>
  <c r="D58" i="79" s="1"/>
  <c r="P30" i="222"/>
  <c r="D33" i="79" s="1"/>
  <c r="P80" i="222"/>
  <c r="P46" i="44"/>
  <c r="P46" i="222"/>
  <c r="D69" i="51"/>
  <c r="P62" i="44"/>
  <c r="P55" i="44"/>
  <c r="P80" i="44"/>
  <c r="P70" i="222"/>
  <c r="D105" i="79" s="1"/>
  <c r="P50" i="44"/>
  <c r="D49" i="45" s="1"/>
  <c r="D54" i="51" s="1"/>
  <c r="P62" i="222"/>
  <c r="D65" i="79" s="1"/>
  <c r="P91" i="44"/>
  <c r="D138" i="45" s="1"/>
  <c r="D110" i="51" s="1"/>
  <c r="P50" i="222"/>
  <c r="D45" i="79" s="1"/>
  <c r="P70" i="44"/>
  <c r="D109" i="45" s="1"/>
  <c r="D82" i="51" s="1"/>
  <c r="P83" i="44"/>
  <c r="D125" i="45" s="1"/>
  <c r="D100" i="51" s="1"/>
  <c r="P30" i="44"/>
  <c r="D37" i="45" s="1"/>
  <c r="D48" i="51" s="1"/>
  <c r="P55" i="222"/>
  <c r="P66" i="44"/>
  <c r="D79" i="45" s="1"/>
  <c r="D77" i="51" s="1"/>
  <c r="P93" i="44"/>
  <c r="D145" i="45" s="1"/>
  <c r="D114" i="51" s="1"/>
  <c r="P66" i="222"/>
  <c r="D75" i="79" s="1"/>
  <c r="P104" i="222" l="1"/>
  <c r="D159" i="79" s="1"/>
  <c r="P76" i="44"/>
  <c r="D115" i="45" s="1"/>
  <c r="D88" i="51" s="1"/>
  <c r="P84" i="222"/>
  <c r="D122" i="79" s="1"/>
  <c r="P87" i="44"/>
  <c r="D129" i="45" s="1"/>
  <c r="D104" i="51" s="1"/>
  <c r="P104" i="44"/>
  <c r="D163" i="45" s="1"/>
  <c r="D126" i="51" s="1"/>
  <c r="P93" i="222"/>
  <c r="D141" i="79" s="1"/>
  <c r="P103" i="44"/>
  <c r="D162" i="45" s="1"/>
  <c r="D125" i="51" s="1"/>
  <c r="P54" i="44"/>
  <c r="D53" i="45" s="1"/>
  <c r="D58" i="51" s="1"/>
  <c r="P72" i="44"/>
  <c r="D111" i="45" s="1"/>
  <c r="D84" i="51" s="1"/>
  <c r="P88" i="44"/>
  <c r="D130" i="45" s="1"/>
  <c r="D105" i="51" s="1"/>
  <c r="P84" i="44"/>
  <c r="D126" i="45" s="1"/>
  <c r="D101" i="51" s="1"/>
  <c r="P56" i="44"/>
  <c r="D59" i="45" s="1"/>
  <c r="D61" i="51" s="1"/>
  <c r="P106" i="44"/>
  <c r="D165" i="45" s="1"/>
  <c r="D130" i="51" s="1"/>
  <c r="P77" i="44"/>
  <c r="D116" i="45" s="1"/>
  <c r="D89" i="51" s="1"/>
  <c r="P81" i="222"/>
  <c r="D119" i="79" s="1"/>
  <c r="P107" i="44"/>
  <c r="D166" i="45" s="1"/>
  <c r="D131" i="51" s="1"/>
  <c r="P51" i="44"/>
  <c r="D50" i="45" s="1"/>
  <c r="D55" i="51" s="1"/>
  <c r="P64" i="44"/>
  <c r="D71" i="45" s="1"/>
  <c r="D72" i="51" s="1"/>
  <c r="P108" i="44"/>
  <c r="D170" i="45" s="1"/>
  <c r="D132" i="51" s="1"/>
  <c r="P74" i="44"/>
  <c r="D113" i="45" s="1"/>
  <c r="D86" i="51" s="1"/>
  <c r="P49" i="44"/>
  <c r="D48" i="45" s="1"/>
  <c r="D53" i="51" s="1"/>
  <c r="P75" i="44"/>
  <c r="D114" i="45" s="1"/>
  <c r="D87" i="51" s="1"/>
  <c r="P77" i="222"/>
  <c r="D112" i="79" s="1"/>
  <c r="P101" i="44"/>
  <c r="D160" i="45" s="1"/>
  <c r="D123" i="51" s="1"/>
  <c r="P82" i="44"/>
  <c r="D124" i="45" s="1"/>
  <c r="D99" i="51" s="1"/>
  <c r="P89" i="44"/>
  <c r="P71" i="44"/>
  <c r="D110" i="45" s="1"/>
  <c r="D83" i="51" s="1"/>
  <c r="P67" i="44"/>
  <c r="D80" i="45" s="1"/>
  <c r="D78" i="51" s="1"/>
  <c r="P88" i="222"/>
  <c r="D126" i="79" s="1"/>
  <c r="P94" i="44"/>
  <c r="P47" i="44"/>
  <c r="D46" i="45" s="1"/>
  <c r="D51" i="51" s="1"/>
  <c r="D53" i="79"/>
  <c r="P52" i="44"/>
  <c r="D51" i="45" s="1"/>
  <c r="D56" i="51" s="1"/>
  <c r="P29" i="222"/>
  <c r="D109" i="222"/>
  <c r="P95" i="44"/>
  <c r="P96" i="44"/>
  <c r="P53" i="44"/>
  <c r="D52" i="45" s="1"/>
  <c r="D57" i="51" s="1"/>
  <c r="K110" i="44"/>
  <c r="P29" i="44"/>
  <c r="P69" i="44"/>
  <c r="D108" i="45" s="1"/>
  <c r="D81" i="51" s="1"/>
  <c r="D44" i="45"/>
  <c r="P100" i="222"/>
  <c r="D155" i="79" s="1"/>
  <c r="P97" i="44"/>
  <c r="P60" i="44"/>
  <c r="D63" i="45" s="1"/>
  <c r="D66" i="51" s="1"/>
  <c r="P73" i="44"/>
  <c r="D112" i="45" s="1"/>
  <c r="D85" i="51" s="1"/>
  <c r="P48" i="44"/>
  <c r="D47" i="45" s="1"/>
  <c r="D52" i="51" s="1"/>
  <c r="L110" i="44"/>
  <c r="O110" i="44"/>
  <c r="D57" i="45"/>
  <c r="P100" i="44"/>
  <c r="D159" i="45" s="1"/>
  <c r="D122" i="51" s="1"/>
  <c r="P98" i="44"/>
  <c r="D157" i="45" s="1"/>
  <c r="D120" i="51" s="1"/>
  <c r="P102" i="44"/>
  <c r="D161" i="45" s="1"/>
  <c r="D124" i="51" s="1"/>
  <c r="P78" i="44"/>
  <c r="D117" i="45" s="1"/>
  <c r="D90" i="51" s="1"/>
  <c r="P86" i="44"/>
  <c r="D128" i="45" s="1"/>
  <c r="D103" i="51" s="1"/>
  <c r="P58" i="44"/>
  <c r="D61" i="45" s="1"/>
  <c r="D63" i="51" s="1"/>
  <c r="P92" i="44"/>
  <c r="P63" i="44"/>
  <c r="D70" i="45" s="1"/>
  <c r="D71" i="51" s="1"/>
  <c r="P65" i="44"/>
  <c r="P57" i="44"/>
  <c r="D60" i="45" s="1"/>
  <c r="D62" i="51" s="1"/>
  <c r="P95" i="222"/>
  <c r="P54" i="222"/>
  <c r="D49" i="79" s="1"/>
  <c r="P85" i="44"/>
  <c r="D127" i="45" s="1"/>
  <c r="D102" i="51" s="1"/>
  <c r="D122" i="45"/>
  <c r="D118" i="79"/>
  <c r="P90" i="44"/>
  <c r="D137" i="45" s="1"/>
  <c r="D109" i="51" s="1"/>
  <c r="P105" i="44"/>
  <c r="D164" i="45" s="1"/>
  <c r="D127" i="51" s="1"/>
  <c r="P53" i="222"/>
  <c r="D48" i="79" s="1"/>
  <c r="P96" i="222"/>
  <c r="P79" i="222"/>
  <c r="D114" i="79" s="1"/>
  <c r="M110" i="44"/>
  <c r="P68" i="44"/>
  <c r="N110" i="44"/>
  <c r="P79" i="44"/>
  <c r="D118" i="45" s="1"/>
  <c r="D91" i="51" s="1"/>
  <c r="P69" i="222"/>
  <c r="D104" i="79" s="1"/>
  <c r="P85" i="222"/>
  <c r="D123" i="79" s="1"/>
  <c r="P81" i="44"/>
  <c r="D123" i="45" s="1"/>
  <c r="D93" i="51" s="1"/>
  <c r="D69" i="45"/>
  <c r="D40" i="79"/>
  <c r="D171" i="45" l="1"/>
  <c r="D156" i="45"/>
  <c r="D54" i="45"/>
  <c r="D49" i="51"/>
  <c r="E109" i="222"/>
  <c r="D146" i="79"/>
  <c r="H49" i="100"/>
  <c r="J49" i="100" s="1"/>
  <c r="D144" i="45"/>
  <c r="D20" i="100"/>
  <c r="D32" i="79"/>
  <c r="D34" i="79" s="1"/>
  <c r="D36" i="45"/>
  <c r="D38" i="45" s="1"/>
  <c r="D18" i="46" s="1"/>
  <c r="D151" i="45"/>
  <c r="D117" i="51" s="1"/>
  <c r="D50" i="100"/>
  <c r="F50" i="100" s="1"/>
  <c r="D149" i="45"/>
  <c r="D48" i="100"/>
  <c r="D136" i="45"/>
  <c r="D70" i="51"/>
  <c r="D74" i="45"/>
  <c r="D107" i="45"/>
  <c r="H50" i="100"/>
  <c r="J50" i="100" s="1"/>
  <c r="D147" i="79"/>
  <c r="D132" i="45"/>
  <c r="D92" i="51"/>
  <c r="D78" i="45"/>
  <c r="D59" i="51"/>
  <c r="D64" i="45"/>
  <c r="J25" i="42"/>
  <c r="J29" i="42" s="1"/>
  <c r="D49" i="100"/>
  <c r="F49" i="100" s="1"/>
  <c r="D150" i="45"/>
  <c r="D116" i="51" s="1"/>
  <c r="H50" i="10" l="1"/>
  <c r="J31" i="42"/>
  <c r="D76" i="51"/>
  <c r="D82" i="45"/>
  <c r="D153" i="45"/>
  <c r="D115" i="51"/>
  <c r="D16" i="24"/>
  <c r="D113" i="51"/>
  <c r="D146" i="45"/>
  <c r="D119" i="45"/>
  <c r="D80" i="51"/>
  <c r="D19" i="46"/>
  <c r="D18" i="24" s="1"/>
  <c r="H18" i="24" s="1"/>
  <c r="D108" i="51"/>
  <c r="D139" i="45"/>
  <c r="F109" i="222"/>
  <c r="F48" i="100"/>
  <c r="F52" i="100" s="1"/>
  <c r="D52" i="100"/>
  <c r="K18" i="46"/>
  <c r="F20" i="100"/>
  <c r="F22" i="100" s="1"/>
  <c r="D22" i="100"/>
  <c r="D167" i="45"/>
  <c r="D119" i="51"/>
  <c r="D20" i="46" l="1"/>
  <c r="D20" i="24" s="1"/>
  <c r="H20" i="24" s="1"/>
  <c r="D134" i="51"/>
  <c r="D23" i="46"/>
  <c r="D26" i="24" s="1"/>
  <c r="H26" i="24" s="1"/>
  <c r="H16" i="24"/>
  <c r="G109" i="222"/>
  <c r="D25" i="46"/>
  <c r="D30" i="24" s="1"/>
  <c r="H30" i="24" s="1"/>
  <c r="D22" i="46"/>
  <c r="D24" i="24" s="1"/>
  <c r="H24" i="24" s="1"/>
  <c r="D173" i="45"/>
  <c r="D21" i="46"/>
  <c r="D22" i="24" s="1"/>
  <c r="H22" i="24" s="1"/>
  <c r="D24" i="46"/>
  <c r="D28" i="24" s="1"/>
  <c r="H28" i="24" s="1"/>
  <c r="F18" i="46"/>
  <c r="O18" i="46"/>
  <c r="D19" i="47" l="1"/>
  <c r="D16" i="69"/>
  <c r="H109" i="222"/>
  <c r="D32" i="24"/>
  <c r="H32" i="24" s="1"/>
  <c r="E15" i="84"/>
  <c r="I109" i="222" l="1"/>
  <c r="J32" i="24"/>
  <c r="E14" i="31"/>
  <c r="H16" i="69"/>
  <c r="D21" i="3" l="1"/>
  <c r="E22" i="31"/>
  <c r="J109" i="222"/>
  <c r="P51" i="222"/>
  <c r="D46" i="79" s="1"/>
  <c r="P64" i="222"/>
  <c r="D67" i="79" s="1"/>
  <c r="P48" i="222"/>
  <c r="D43" i="79" s="1"/>
  <c r="P60" i="222"/>
  <c r="D59" i="79" s="1"/>
  <c r="P49" i="222"/>
  <c r="D44" i="79" s="1"/>
  <c r="P52" i="222"/>
  <c r="D47" i="79" s="1"/>
  <c r="P87" i="222"/>
  <c r="D125" i="79" s="1"/>
  <c r="P56" i="222"/>
  <c r="P58" i="222"/>
  <c r="D57" i="79" s="1"/>
  <c r="P57" i="222"/>
  <c r="D56" i="79" s="1"/>
  <c r="P83" i="222"/>
  <c r="D121" i="79" s="1"/>
  <c r="P105" i="222"/>
  <c r="D160" i="79" s="1"/>
  <c r="P106" i="222"/>
  <c r="D161" i="79" s="1"/>
  <c r="P107" i="222"/>
  <c r="D162" i="79" s="1"/>
  <c r="P86" i="222"/>
  <c r="D124" i="79" s="1"/>
  <c r="P89" i="222"/>
  <c r="P82" i="222"/>
  <c r="P92" i="222"/>
  <c r="P65" i="222"/>
  <c r="P94" i="222"/>
  <c r="P67" i="222"/>
  <c r="D76" i="79" s="1"/>
  <c r="P90" i="222"/>
  <c r="D133" i="79" s="1"/>
  <c r="P98" i="222"/>
  <c r="D153" i="79" s="1"/>
  <c r="P97" i="222"/>
  <c r="P101" i="222" l="1"/>
  <c r="D156" i="79" s="1"/>
  <c r="D55" i="79"/>
  <c r="D60" i="79" s="1"/>
  <c r="D27" i="3"/>
  <c r="F21" i="3"/>
  <c r="H20" i="100"/>
  <c r="D140" i="79"/>
  <c r="D142" i="79" s="1"/>
  <c r="D152" i="79"/>
  <c r="D120" i="79"/>
  <c r="D128" i="79" s="1"/>
  <c r="K109" i="222"/>
  <c r="D132" i="79"/>
  <c r="D135" i="79" s="1"/>
  <c r="D145" i="79"/>
  <c r="D149" i="79" s="1"/>
  <c r="H48" i="100"/>
  <c r="P47" i="222"/>
  <c r="D74" i="79"/>
  <c r="D78" i="79" s="1"/>
  <c r="K24" i="46" l="1"/>
  <c r="H22" i="100"/>
  <c r="J20" i="100"/>
  <c r="J22" i="100" s="1"/>
  <c r="F27" i="3"/>
  <c r="D42" i="79"/>
  <c r="D50" i="79" s="1"/>
  <c r="L109" i="222"/>
  <c r="J48" i="100"/>
  <c r="J52" i="100" s="1"/>
  <c r="H52" i="100"/>
  <c r="K22" i="46"/>
  <c r="K23" i="46"/>
  <c r="O22" i="46" l="1"/>
  <c r="D24" i="69" s="1"/>
  <c r="H24" i="69" s="1"/>
  <c r="F22" i="46"/>
  <c r="O24" i="46"/>
  <c r="D28" i="69" s="1"/>
  <c r="H28" i="69" s="1"/>
  <c r="F24" i="46"/>
  <c r="F23" i="46"/>
  <c r="O23" i="46"/>
  <c r="D26" i="69" s="1"/>
  <c r="H26" i="69" s="1"/>
  <c r="D28" i="47"/>
  <c r="E28" i="84"/>
  <c r="E32" i="84" s="1"/>
  <c r="E16" i="1"/>
  <c r="K19" i="46"/>
  <c r="M109" i="222"/>
  <c r="P76" i="222"/>
  <c r="D111" i="79" s="1"/>
  <c r="P71" i="222"/>
  <c r="D106" i="79" s="1"/>
  <c r="P73" i="222"/>
  <c r="D108" i="79" s="1"/>
  <c r="P75" i="222"/>
  <c r="D110" i="79" s="1"/>
  <c r="P78" i="222"/>
  <c r="D113" i="79" s="1"/>
  <c r="P72" i="222"/>
  <c r="D107" i="79" s="1"/>
  <c r="P74" i="222"/>
  <c r="D109" i="79" s="1"/>
  <c r="P108" i="222"/>
  <c r="D166" i="79" s="1"/>
  <c r="D167" i="79" s="1"/>
  <c r="P103" i="222" l="1"/>
  <c r="D158" i="79" s="1"/>
  <c r="P102" i="222"/>
  <c r="P63" i="222"/>
  <c r="O109" i="222"/>
  <c r="O19" i="46"/>
  <c r="F19" i="46"/>
  <c r="E24" i="1"/>
  <c r="D157" i="79"/>
  <c r="P68" i="222"/>
  <c r="J40" i="42"/>
  <c r="E17" i="84"/>
  <c r="E19" i="84" s="1"/>
  <c r="E23" i="84" s="1"/>
  <c r="N109" i="222"/>
  <c r="D163" i="79" l="1"/>
  <c r="K25" i="46" s="1"/>
  <c r="D103" i="79"/>
  <c r="D115" i="79" s="1"/>
  <c r="D18" i="69"/>
  <c r="D66" i="79"/>
  <c r="D70" i="79" s="1"/>
  <c r="J12" i="44"/>
  <c r="N12" i="44"/>
  <c r="D177" i="45"/>
  <c r="K12" i="44"/>
  <c r="O12" i="44"/>
  <c r="D23" i="47"/>
  <c r="M12" i="44"/>
  <c r="L12" i="44"/>
  <c r="H59" i="10"/>
  <c r="J41" i="42"/>
  <c r="D28" i="46" l="1"/>
  <c r="D31" i="46" s="1"/>
  <c r="D33" i="46" s="1"/>
  <c r="N54" i="202" s="1"/>
  <c r="N50" i="202" s="1"/>
  <c r="L50" i="202" s="1"/>
  <c r="D179" i="45"/>
  <c r="K20" i="46"/>
  <c r="D169" i="79"/>
  <c r="H18" i="69"/>
  <c r="D24" i="47"/>
  <c r="J42" i="42"/>
  <c r="H53" i="10" s="1"/>
  <c r="F25" i="46"/>
  <c r="O25" i="46"/>
  <c r="D30" i="69" s="1"/>
  <c r="H30" i="69" s="1"/>
  <c r="P12" i="44"/>
  <c r="K21" i="46"/>
  <c r="J44" i="42" l="1"/>
  <c r="D26" i="47"/>
  <c r="O20" i="46"/>
  <c r="F20" i="46"/>
  <c r="F21" i="46"/>
  <c r="O21" i="46"/>
  <c r="D22" i="69" s="1"/>
  <c r="H22" i="69" s="1"/>
  <c r="P110" i="44"/>
  <c r="H55" i="10"/>
  <c r="D181" i="45"/>
  <c r="H115" i="10" l="1"/>
  <c r="H58" i="10"/>
  <c r="H114" i="10"/>
  <c r="D20" i="69"/>
  <c r="F19" i="47"/>
  <c r="G15" i="84"/>
  <c r="D30" i="47"/>
  <c r="E18" i="1"/>
  <c r="H20" i="69" l="1"/>
  <c r="D32" i="69"/>
  <c r="H32" i="69" s="1"/>
  <c r="F15" i="84"/>
  <c r="E20" i="1"/>
  <c r="E26" i="1"/>
  <c r="L25" i="42"/>
  <c r="L29" i="42" s="1"/>
  <c r="H78" i="10"/>
  <c r="H80" i="10"/>
  <c r="H60" i="10"/>
  <c r="H62" i="10" s="1"/>
  <c r="H79" i="10"/>
  <c r="H77" i="10"/>
  <c r="H82" i="10"/>
  <c r="H76" i="10"/>
  <c r="H64" i="10" l="1"/>
  <c r="H66" i="10"/>
  <c r="E30" i="1"/>
  <c r="L31" i="42"/>
  <c r="G50" i="10"/>
  <c r="E14" i="67"/>
  <c r="D21" i="137" l="1"/>
  <c r="E22" i="67"/>
  <c r="D27" i="137" l="1"/>
  <c r="F21" i="137"/>
  <c r="F27" i="137" l="1"/>
  <c r="F28" i="47" l="1"/>
  <c r="I60" i="232"/>
  <c r="G28" i="84"/>
  <c r="G32" i="84" s="1"/>
  <c r="J28" i="47"/>
  <c r="G16" i="1"/>
  <c r="G17" i="84" l="1"/>
  <c r="I64" i="232"/>
  <c r="L40" i="42"/>
  <c r="G24" i="1"/>
  <c r="G59" i="10" l="1"/>
  <c r="L41" i="42"/>
  <c r="I62" i="232"/>
  <c r="I66" i="232" s="1"/>
  <c r="I68" i="232" s="1"/>
  <c r="I70" i="232" s="1"/>
  <c r="K76" i="232" s="1"/>
  <c r="F17" i="84"/>
  <c r="F19" i="84" s="1"/>
  <c r="G19" i="84"/>
  <c r="G23" i="84" s="1"/>
  <c r="F12" i="222" l="1"/>
  <c r="O28" i="46"/>
  <c r="O12" i="222"/>
  <c r="D12" i="222"/>
  <c r="J12" i="222"/>
  <c r="G12" i="222"/>
  <c r="K12" i="222"/>
  <c r="I12" i="222"/>
  <c r="L12" i="222"/>
  <c r="F23" i="47"/>
  <c r="N12" i="222"/>
  <c r="H12" i="222"/>
  <c r="F23" i="84"/>
  <c r="M12" i="222"/>
  <c r="E12" i="222"/>
  <c r="L42" i="42"/>
  <c r="G53" i="10" s="1"/>
  <c r="P12" i="222" l="1"/>
  <c r="F24" i="47"/>
  <c r="L44" i="42"/>
  <c r="O31" i="46"/>
  <c r="O33" i="46" s="1"/>
  <c r="G55" i="10"/>
  <c r="G114" i="10" l="1"/>
  <c r="G115" i="10"/>
  <c r="G58" i="10"/>
  <c r="F26" i="47"/>
  <c r="D173" i="79"/>
  <c r="P109" i="222"/>
  <c r="F30" i="47" l="1"/>
  <c r="G18" i="1"/>
  <c r="G78" i="10"/>
  <c r="G60" i="10"/>
  <c r="G62" i="10" s="1"/>
  <c r="G80" i="10"/>
  <c r="G79" i="10"/>
  <c r="G77" i="10"/>
  <c r="G82" i="10"/>
  <c r="G76" i="10"/>
  <c r="K28" i="46"/>
  <c r="D175" i="79"/>
  <c r="G64" i="10" l="1"/>
  <c r="G66" i="10"/>
  <c r="G20" i="1"/>
  <c r="G26" i="1"/>
  <c r="D177" i="79"/>
  <c r="F28" i="46"/>
  <c r="F31" i="46" s="1"/>
  <c r="F33" i="46" s="1"/>
  <c r="K31" i="46"/>
  <c r="M28" i="46"/>
  <c r="M31" i="46" s="1"/>
  <c r="M33" i="46" s="1"/>
  <c r="V54" i="202" l="1"/>
  <c r="V50" i="202" s="1"/>
  <c r="T50" i="202" s="1"/>
  <c r="K33" i="46"/>
  <c r="G30" i="1"/>
  <c r="G32" i="1" l="1"/>
  <c r="G36" i="1" l="1"/>
  <c r="H15" i="47"/>
  <c r="J15" i="47" l="1"/>
  <c r="H21" i="47"/>
  <c r="J21" i="47" s="1"/>
  <c r="H19" i="47"/>
  <c r="H23" i="47" l="1"/>
  <c r="J23" i="47" s="1"/>
  <c r="J19" i="47"/>
  <c r="J24" i="47" l="1"/>
  <c r="J26" i="47" s="1"/>
  <c r="J30" i="47" s="1"/>
  <c r="H24" i="47"/>
  <c r="H26" i="47" s="1"/>
  <c r="D34" i="49" l="1"/>
  <c r="D35" i="49" l="1"/>
  <c r="L144" i="51"/>
  <c r="L146" i="51" s="1"/>
  <c r="L148" i="51" s="1"/>
  <c r="D28" i="49" l="1"/>
  <c r="L134" i="51"/>
  <c r="L141" i="51" s="1"/>
  <c r="P141" i="51" s="1"/>
  <c r="P110" i="51"/>
  <c r="P134" i="51" s="1"/>
  <c r="D29" i="49" l="1"/>
  <c r="J144" i="5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<sst xmlns="http://schemas.openxmlformats.org/spreadsheetml/2006/main" count="5221" uniqueCount="1635">
  <si>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</si>
  <si>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</si>
  <si>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</si>
  <si>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</si>
  <si>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</si>
  <si>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</si>
  <si>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</si>
  <si>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</si>
  <si>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</si>
  <si>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</si>
  <si>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</si>
  <si>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</si>
  <si>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</si>
  <si>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</si>
  <si>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</si>
  <si>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</si>
  <si>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</si>
  <si>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</si>
  <si>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</si>
  <si>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</si>
  <si>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</si>
  <si>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</si>
  <si>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</si>
  <si>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</si>
  <si>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</si>
  <si>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</si>
  <si>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</si>
  <si>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</si>
  <si>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</si>
  <si>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</si>
  <si>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</si>
  <si>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</si>
  <si>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</si>
  <si>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</si>
  <si>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</si>
  <si>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</si>
  <si>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</si>
  <si>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</si>
  <si>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</si>
  <si>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</si>
  <si>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</si>
  <si>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</si>
  <si>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</si>
  <si>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</si>
  <si>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</si>
  <si>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</si>
  <si>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</si>
  <si>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</si>
  <si>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</si>
  <si>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</si>
  <si>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</si>
  <si>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</si>
  <si>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</si>
  <si>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</si>
  <si>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</si>
  <si>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12</t>
  </si>
  <si>
    <t>13</t>
  </si>
  <si>
    <t>14</t>
  </si>
  <si>
    <t>15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</si>
  <si>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</si>
  <si>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</si>
  <si>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</si>
  <si>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</si>
  <si>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</si>
  <si>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</si>
  <si>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</si>
  <si>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</si>
  <si>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</si>
  <si>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</si>
  <si>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</si>
  <si>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</si>
  <si>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</si>
  <si>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</si>
  <si>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</si>
  <si>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</si>
  <si>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</si>
  <si>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</si>
  <si>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</si>
  <si>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</si>
  <si>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</si>
  <si>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</si>
  <si>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</si>
  <si>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</si>
  <si>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</si>
  <si>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</si>
  <si>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</si>
  <si>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</si>
  <si>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</si>
  <si>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</si>
  <si>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</si>
  <si>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</si>
  <si>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</si>
  <si>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</si>
  <si>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</si>
  <si>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</si>
  <si>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</si>
  <si>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</si>
  <si>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</si>
  <si>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</si>
  <si>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</si>
  <si>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</si>
  <si>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</si>
  <si>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</si>
  <si>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</si>
  <si>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</si>
  <si>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</si>
  <si>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</si>
  <si>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</si>
  <si>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</si>
  <si>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</si>
  <si>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</si>
  <si>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</si>
  <si>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</si>
  <si>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</si>
  <si>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</si>
  <si>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</si>
  <si>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</si>
  <si>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</si>
  <si>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</si>
  <si>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</si>
  <si>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</si>
  <si>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</si>
  <si>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</si>
  <si>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</si>
  <si>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</si>
  <si>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</si>
  <si>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</si>
  <si>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</si>
  <si>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</si>
  <si>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</si>
  <si>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</si>
  <si>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</si>
  <si>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</si>
  <si>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</si>
  <si>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</si>
  <si>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</si>
  <si>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</si>
  <si>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</si>
  <si>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</si>
  <si>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</si>
  <si>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</si>
  <si>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</si>
  <si>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</si>
  <si>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</si>
  <si>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</si>
  <si>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</si>
  <si>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</si>
  <si>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</si>
  <si>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</si>
  <si>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</si>
  <si>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</si>
  <si>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</si>
  <si>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</si>
  <si>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</si>
  <si>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</si>
  <si>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</si>
  <si>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</si>
  <si>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</si>
  <si>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</si>
  <si>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</si>
  <si>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</si>
  <si>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</si>
  <si>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</si>
  <si>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</si>
  <si>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</si>
  <si>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</si>
  <si>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</si>
  <si>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</si>
  <si>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</si>
  <si>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</si>
  <si>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</si>
  <si>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</si>
  <si>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</si>
  <si>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</si>
  <si>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</si>
  <si>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</si>
  <si>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</si>
  <si>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</si>
  <si>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</si>
  <si>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</si>
  <si>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</si>
  <si>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</si>
  <si>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</si>
  <si>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</si>
  <si>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</si>
  <si>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</si>
  <si>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</si>
  <si>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</si>
  <si>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</si>
  <si>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</si>
  <si>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</si>
  <si>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</si>
  <si>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</si>
  <si>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</si>
  <si>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</si>
  <si>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</si>
  <si>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</si>
  <si>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</si>
  <si>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</si>
  <si>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</si>
  <si>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</si>
  <si>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</si>
  <si>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</si>
  <si>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</si>
  <si>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</si>
  <si>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</si>
  <si>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</si>
  <si>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</si>
  <si>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</si>
  <si>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</si>
  <si>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</si>
  <si>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</si>
  <si>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</si>
  <si>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</si>
  <si>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</si>
  <si>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</si>
  <si>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</si>
  <si>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</si>
  <si>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</si>
  <si>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</si>
  <si>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</si>
  <si>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</si>
  <si>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</si>
  <si>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</si>
  <si>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</si>
  <si>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</si>
  <si>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</si>
  <si>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</si>
  <si>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</si>
  <si>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</si>
  <si>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</si>
  <si>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</si>
  <si>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</si>
  <si>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</si>
  <si>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</si>
  <si>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</si>
  <si>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</si>
  <si>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</si>
  <si>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</si>
  <si>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</si>
  <si>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</si>
  <si>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</si>
  <si>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</si>
  <si>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</si>
  <si>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</si>
  <si>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</si>
  <si>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</si>
  <si>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</si>
  <si>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</si>
  <si>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</si>
  <si>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</si>
  <si>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</si>
  <si>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</si>
  <si>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</si>
  <si>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</si>
  <si>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</si>
  <si>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</si>
  <si>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</si>
  <si>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</si>
  <si>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</si>
  <si>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</si>
  <si>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</si>
  <si>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</si>
  <si>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</si>
  <si>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</si>
  <si>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</si>
  <si>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</si>
  <si>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</si>
  <si>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</si>
  <si>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</si>
  <si>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</si>
  <si>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</si>
  <si>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</si>
  <si>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</si>
  <si>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</si>
  <si>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</si>
  <si>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</si>
  <si>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</si>
  <si>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</si>
  <si>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</si>
  <si>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</si>
  <si>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</si>
  <si>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</si>
  <si>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</si>
  <si>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</si>
  <si>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</si>
  <si>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</si>
  <si>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</si>
  <si>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</si>
  <si>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</si>
  <si>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</si>
  <si>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</si>
  <si>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</si>
  <si>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</si>
  <si>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</si>
  <si>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</si>
  <si>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</si>
  <si>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</si>
  <si>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</si>
  <si>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</si>
  <si>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</si>
  <si>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</si>
  <si>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</si>
  <si>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</si>
  <si>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</si>
  <si>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</si>
  <si>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</si>
  <si>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</si>
  <si>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</si>
  <si>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</si>
  <si>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</si>
  <si>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</si>
  <si>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</si>
  <si>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</si>
  <si>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</si>
  <si>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</si>
  <si>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</si>
  <si>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</si>
  <si>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</si>
  <si>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</si>
  <si>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</si>
  <si>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</si>
  <si>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</si>
  <si>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Senior Vice President, Human Resources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</si>
  <si>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</si>
  <si>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</si>
  <si>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</si>
  <si>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</si>
  <si>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</si>
  <si>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</si>
  <si>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</si>
  <si>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</si>
  <si>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</si>
  <si>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</si>
  <si>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</si>
  <si>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</si>
  <si>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</si>
  <si>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</si>
  <si>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</si>
  <si>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</si>
  <si>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</si>
  <si>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</si>
  <si>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</si>
  <si>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</si>
  <si>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</si>
  <si>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</si>
  <si>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</si>
  <si>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</si>
  <si>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Trucks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</si>
  <si>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</si>
  <si>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</si>
  <si>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</si>
  <si>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</si>
  <si>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</si>
  <si>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</si>
  <si>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</si>
  <si>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</si>
  <si>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</si>
  <si>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</si>
  <si>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</si>
  <si>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</si>
  <si>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</si>
  <si>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</si>
  <si>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</si>
  <si>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</si>
  <si>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</si>
  <si>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</si>
  <si>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</si>
  <si>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</si>
  <si>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</si>
  <si>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</si>
  <si>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</si>
  <si>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</si>
  <si>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</si>
  <si>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</si>
  <si>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</si>
  <si>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</si>
  <si>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</si>
  <si>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</si>
  <si>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</si>
  <si>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</si>
  <si>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</si>
  <si>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</si>
  <si>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</si>
  <si>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</si>
  <si>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</si>
  <si>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</si>
  <si>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</si>
  <si>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</si>
  <si>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11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</si>
  <si>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</si>
  <si>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</si>
  <si>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</si>
  <si>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</si>
  <si>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</si>
  <si>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</si>
  <si>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</si>
  <si>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</si>
  <si>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</si>
  <si>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</si>
  <si>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</si>
  <si>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</si>
  <si>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</si>
  <si>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</si>
  <si>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Senior Vice President, Chief Financial Officer</t>
  </si>
  <si>
    <t>Senior Vice President, Utility Operations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</si>
  <si>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</si>
  <si>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</si>
  <si>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</si>
  <si>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</si>
  <si>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</si>
  <si>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</si>
  <si>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</si>
  <si>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</si>
  <si>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</si>
  <si>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</si>
  <si>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</si>
  <si>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</si>
  <si>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</si>
  <si>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</si>
  <si>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</si>
  <si>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</si>
  <si>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</si>
  <si>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</si>
  <si>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</si>
  <si>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</si>
  <si>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</si>
  <si>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</si>
  <si>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</si>
  <si>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</si>
  <si>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</si>
  <si>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</si>
  <si>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</si>
  <si>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</si>
  <si>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</si>
  <si>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</si>
  <si>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</si>
  <si>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</si>
  <si>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</si>
  <si>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</si>
  <si>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</si>
  <si>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</si>
  <si>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</si>
  <si>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</si>
  <si>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</si>
  <si>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</si>
  <si>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</si>
  <si>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</si>
  <si>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</si>
  <si>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</si>
  <si>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</si>
  <si>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</si>
  <si>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</si>
  <si>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</si>
  <si>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</si>
  <si>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</si>
  <si>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</si>
  <si>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</si>
  <si>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</si>
  <si>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</si>
  <si>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</si>
  <si>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</si>
  <si>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</si>
  <si>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</si>
  <si>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</si>
  <si>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</si>
  <si>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</si>
  <si>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</si>
  <si>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</si>
  <si>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</si>
  <si>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</si>
  <si>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</si>
  <si>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</si>
  <si>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</si>
  <si>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</si>
  <si>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</si>
  <si>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</si>
  <si>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Senior Vice President and General Counsel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</si>
  <si>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</si>
  <si>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</si>
  <si>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</si>
  <si>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</si>
  <si>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</si>
  <si>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</si>
  <si>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</si>
  <si>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</si>
  <si>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</si>
  <si>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</si>
  <si>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</si>
  <si>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</si>
  <si>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</si>
  <si>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</si>
  <si>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</si>
  <si>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</si>
  <si>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</si>
  <si>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</si>
  <si>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</si>
  <si>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</si>
  <si>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</si>
  <si>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</si>
  <si>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</si>
  <si>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</si>
  <si>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</si>
  <si>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</si>
  <si>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</si>
  <si>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</si>
  <si>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</si>
  <si>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</si>
  <si>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</si>
  <si>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</si>
  <si>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</si>
  <si>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</si>
  <si>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</si>
  <si>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</si>
  <si>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</si>
  <si>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</si>
  <si>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</si>
  <si>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</si>
  <si>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</si>
  <si>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</si>
  <si>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</si>
  <si>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</si>
  <si>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</si>
  <si>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</si>
  <si>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</si>
  <si>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</si>
  <si>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</si>
  <si>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</si>
  <si>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</si>
  <si>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</si>
  <si>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</si>
  <si>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</si>
  <si>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</si>
  <si>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</si>
  <si>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</si>
  <si>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</si>
  <si>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</si>
  <si>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</si>
  <si>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</si>
  <si>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</si>
  <si>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</si>
  <si>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</si>
  <si>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</si>
  <si>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</si>
  <si>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</si>
  <si>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</si>
  <si>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</si>
  <si>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</si>
  <si>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</si>
  <si>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</si>
  <si>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</si>
  <si>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</si>
  <si>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</si>
  <si>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</si>
  <si>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</si>
  <si>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</si>
  <si>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</si>
  <si>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</si>
  <si>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</si>
  <si>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</si>
  <si>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</si>
  <si>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</si>
  <si>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</si>
  <si>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</si>
  <si>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</si>
  <si>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</si>
  <si>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</si>
  <si>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</si>
  <si>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</si>
  <si>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</si>
  <si>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</si>
  <si>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</si>
  <si>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</si>
  <si>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</si>
  <si>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</si>
  <si>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</si>
  <si>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</si>
  <si>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</si>
  <si>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</si>
  <si>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</si>
  <si>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</si>
  <si>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</si>
  <si>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</si>
  <si>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</si>
  <si>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</si>
  <si>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</si>
  <si>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</si>
  <si>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</si>
  <si>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</si>
  <si>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</si>
  <si>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</si>
  <si>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</si>
  <si>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</si>
  <si>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</si>
  <si>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</si>
  <si>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</si>
  <si>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</si>
  <si>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</si>
  <si>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</si>
  <si>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</si>
  <si>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</si>
  <si>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</si>
  <si>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</si>
  <si>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</si>
  <si>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</si>
  <si>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</si>
  <si>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</si>
  <si>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</si>
  <si>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</si>
  <si>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</si>
  <si>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</si>
  <si>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</si>
  <si>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</si>
  <si>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</si>
  <si>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</si>
  <si>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</si>
  <si>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</si>
  <si>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</si>
  <si>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</si>
  <si>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</si>
  <si>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</si>
  <si>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</si>
  <si>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</si>
  <si>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</si>
  <si>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</si>
  <si>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</si>
  <si>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</si>
  <si>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</si>
  <si>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</si>
  <si>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</si>
  <si>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</si>
  <si>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</si>
  <si>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</si>
  <si>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</si>
  <si>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</si>
  <si>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</si>
  <si>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</si>
  <si>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</si>
  <si>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</si>
  <si>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</si>
  <si>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</si>
  <si>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</si>
  <si>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</si>
  <si>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</si>
  <si>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</si>
  <si>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</si>
  <si>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</si>
  <si>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</si>
  <si>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</si>
  <si>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</si>
  <si>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</si>
  <si>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</si>
  <si>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</si>
  <si>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</si>
  <si>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</si>
  <si>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</si>
  <si>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</si>
  <si>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</si>
  <si>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</si>
  <si>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</si>
  <si>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</si>
  <si>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</si>
  <si>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</si>
  <si>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</si>
  <si>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</si>
  <si>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</si>
  <si>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</si>
  <si>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</si>
  <si>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</si>
  <si>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</si>
  <si>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</si>
  <si>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</si>
  <si>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</si>
  <si>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</si>
  <si>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</si>
  <si>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</si>
  <si>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</si>
  <si>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</si>
  <si>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</si>
  <si>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</si>
  <si>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</si>
  <si>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</si>
  <si>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</si>
  <si>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</si>
  <si>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</si>
  <si>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</si>
  <si>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</si>
  <si>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</si>
  <si>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</si>
  <si>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</si>
  <si>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</si>
  <si>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</si>
  <si>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</si>
  <si>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</si>
  <si>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</si>
  <si>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</si>
  <si>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</si>
  <si>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</si>
  <si>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</si>
  <si>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</si>
  <si>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</si>
  <si>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</si>
  <si>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</si>
  <si>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</si>
  <si>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</si>
  <si>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</si>
  <si>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</si>
  <si>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</si>
  <si>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</si>
  <si>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</si>
  <si>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</si>
  <si>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</si>
  <si>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</si>
  <si>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</si>
  <si>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</si>
  <si>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</si>
  <si>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</si>
  <si>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</si>
  <si>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</si>
  <si>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</si>
  <si>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</si>
  <si>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</si>
  <si>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</si>
  <si>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</si>
  <si>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</si>
  <si>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</si>
  <si>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</si>
  <si>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</si>
  <si>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</si>
  <si>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</si>
  <si>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</si>
  <si>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</si>
  <si>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</si>
  <si>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</si>
  <si>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</si>
  <si>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</si>
  <si>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</si>
  <si>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</si>
  <si>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</si>
  <si>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</si>
  <si>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</si>
  <si>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</si>
  <si>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</si>
  <si>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</si>
  <si>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</si>
  <si>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</si>
  <si>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</si>
  <si>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</si>
  <si>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</si>
  <si>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</si>
  <si>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</si>
  <si>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</si>
  <si>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</si>
  <si>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</si>
  <si>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</si>
  <si>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</si>
  <si>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</si>
  <si>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</si>
  <si>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</si>
  <si>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</si>
  <si>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</si>
  <si>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</si>
  <si>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</si>
  <si>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</si>
  <si>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</si>
  <si>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</si>
  <si>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</si>
  <si>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</si>
  <si>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</si>
  <si>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</si>
  <si>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</si>
  <si>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</si>
  <si>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</si>
  <si>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</si>
  <si>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</si>
  <si>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</si>
  <si>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</si>
  <si>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</si>
  <si>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</si>
  <si>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</si>
  <si>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</si>
  <si>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</si>
  <si>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</si>
  <si>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</si>
  <si>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</si>
  <si>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</si>
  <si>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</si>
  <si>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</si>
  <si>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</si>
  <si>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</si>
  <si>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</si>
  <si>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</si>
  <si>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</si>
  <si>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</si>
  <si>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</si>
  <si>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</si>
  <si>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</si>
  <si>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</si>
  <si>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</si>
  <si>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</si>
  <si>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</si>
  <si>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</si>
  <si>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</si>
  <si>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</si>
  <si>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</si>
  <si>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</si>
  <si>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</si>
  <si>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</si>
  <si>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</si>
  <si>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</si>
  <si>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</si>
  <si>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</si>
  <si>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</si>
  <si>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</si>
  <si>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</si>
  <si>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</si>
  <si>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</si>
  <si>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</si>
  <si>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</si>
  <si>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</si>
  <si>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</si>
  <si>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</si>
  <si>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</si>
  <si>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</si>
  <si>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</si>
  <si>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</si>
  <si>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</si>
  <si>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</si>
  <si>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</si>
  <si>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</si>
  <si>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</si>
  <si>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</si>
  <si>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</si>
  <si>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</si>
  <si>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</si>
  <si>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</si>
  <si>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</si>
  <si>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</si>
  <si>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</si>
  <si>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</si>
  <si>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</si>
  <si>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</si>
  <si>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</si>
  <si>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</si>
  <si>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</si>
  <si>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</si>
  <si>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</si>
  <si>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</si>
  <si>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</si>
  <si>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</si>
  <si>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</si>
  <si>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</si>
  <si>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</si>
  <si>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</si>
  <si>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</si>
  <si>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</si>
  <si>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</si>
  <si>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</si>
  <si>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</si>
  <si>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</si>
  <si>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</si>
  <si>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</si>
  <si>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</si>
  <si>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</si>
  <si>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</si>
  <si>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</si>
  <si>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</si>
  <si>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</si>
  <si>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</si>
  <si>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Communication Equipment - Mobile Radios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</si>
  <si>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</si>
  <si>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</si>
  <si>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</si>
  <si>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</si>
  <si>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</si>
  <si>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</si>
  <si>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</si>
  <si>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</si>
  <si>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</si>
  <si>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</si>
  <si>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</si>
  <si>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</si>
  <si>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</si>
  <si>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</si>
  <si>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</si>
  <si>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</si>
  <si>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</si>
  <si>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</si>
  <si>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</si>
  <si>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</si>
  <si>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</si>
  <si>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</si>
  <si>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</si>
  <si>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</si>
  <si>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</si>
  <si>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</si>
  <si>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</si>
  <si>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</si>
  <si>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</si>
  <si>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</si>
  <si>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</si>
  <si>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</si>
  <si>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</si>
  <si>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</si>
  <si>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</si>
  <si>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</si>
  <si>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</si>
  <si>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</si>
  <si>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</si>
  <si>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</si>
  <si>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</si>
  <si>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</si>
  <si>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</si>
  <si>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</si>
  <si>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</si>
  <si>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</si>
  <si>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</si>
  <si>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</si>
  <si>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</si>
  <si>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</si>
  <si>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</si>
  <si>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</si>
  <si>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</si>
  <si>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</si>
  <si>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</si>
  <si>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</si>
  <si>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</si>
  <si>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</si>
  <si>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</si>
  <si>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</si>
  <si>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</si>
  <si>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</si>
  <si>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</si>
  <si>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</si>
  <si>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</si>
  <si>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</si>
  <si>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</si>
  <si>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</si>
  <si>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</si>
  <si>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</si>
  <si>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</si>
  <si>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</si>
  <si>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</si>
  <si>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</si>
  <si>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</si>
  <si>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</si>
  <si>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</si>
  <si>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</si>
  <si>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</si>
  <si>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</si>
  <si>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</si>
  <si>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</si>
  <si>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</si>
  <si>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</si>
  <si>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</si>
  <si>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</si>
  <si>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</si>
  <si>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</si>
  <si>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</si>
  <si>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</si>
  <si>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</si>
  <si>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</si>
  <si>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</si>
  <si>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</si>
  <si>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</si>
  <si>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</si>
  <si>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</si>
  <si>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</si>
  <si>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</si>
  <si>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</si>
  <si>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</si>
  <si>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</si>
  <si>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</si>
  <si>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</si>
  <si>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</si>
  <si>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</si>
  <si>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</si>
  <si>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</si>
  <si>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</si>
  <si>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</si>
  <si>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</si>
  <si>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</si>
  <si>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</si>
  <si>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</si>
  <si>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</si>
  <si>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</si>
  <si>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</si>
  <si>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</si>
  <si>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</si>
  <si>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</si>
  <si>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</si>
  <si>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</si>
  <si>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</si>
  <si>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</si>
  <si>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</si>
  <si>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</si>
  <si>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</si>
  <si>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</si>
  <si>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</si>
  <si>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</si>
  <si>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</si>
  <si>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</si>
  <si>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</si>
  <si>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</si>
  <si>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</si>
  <si>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</si>
  <si>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</si>
  <si>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</si>
  <si>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</si>
  <si>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</si>
  <si>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</si>
  <si>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</si>
  <si>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</si>
  <si>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</si>
  <si>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</si>
  <si>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</si>
  <si>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</si>
  <si>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</si>
  <si>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</si>
  <si>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</si>
  <si>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</si>
  <si>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</si>
  <si>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</si>
  <si>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</si>
  <si>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</si>
  <si>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</si>
  <si>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</si>
  <si>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</si>
  <si>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</si>
  <si>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</si>
  <si>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</si>
  <si>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</si>
  <si>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</si>
  <si>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</si>
  <si>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</si>
  <si>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</si>
  <si>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</si>
  <si>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</si>
  <si>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</si>
  <si>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</si>
  <si>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</si>
  <si>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</si>
  <si>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</si>
  <si>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</si>
  <si>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</si>
  <si>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</si>
  <si>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</si>
  <si>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</si>
  <si>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</si>
  <si>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</si>
  <si>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</si>
  <si>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</si>
  <si>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</si>
  <si>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</si>
  <si>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</si>
  <si>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</si>
  <si>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</si>
  <si>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</si>
  <si>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</si>
  <si>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</si>
  <si>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</si>
  <si>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</si>
  <si>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</si>
  <si>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</si>
  <si>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</si>
  <si>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</si>
  <si>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</si>
  <si>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</si>
  <si>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</si>
  <si>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</si>
  <si>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</si>
  <si>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</si>
  <si>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</si>
  <si>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</si>
  <si>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</si>
  <si>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</si>
  <si>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</si>
  <si>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</si>
  <si>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</si>
  <si>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</si>
  <si>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</si>
  <si>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</si>
  <si>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</si>
  <si>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</si>
  <si>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</si>
  <si>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</si>
  <si>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</si>
  <si>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</si>
  <si>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</si>
  <si>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</si>
  <si>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</si>
  <si>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</si>
  <si>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</si>
  <si>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</si>
  <si>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</si>
  <si>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</si>
  <si>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</si>
  <si>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</si>
  <si>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</si>
  <si>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</si>
  <si>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</si>
  <si>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</si>
  <si>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</si>
  <si>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</si>
  <si>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</si>
  <si>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</si>
  <si>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</si>
  <si>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</si>
  <si>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</si>
  <si>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</si>
  <si>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</si>
  <si>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</si>
  <si>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</si>
  <si>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</si>
  <si>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</si>
  <si>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</si>
  <si>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</si>
  <si>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</si>
  <si>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</si>
  <si>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</si>
  <si>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</si>
  <si>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</si>
  <si>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</si>
  <si>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</si>
  <si>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</si>
  <si>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</si>
  <si>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</si>
  <si>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</si>
  <si>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</si>
  <si>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</si>
  <si>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</si>
  <si>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</si>
  <si>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</si>
  <si>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</si>
  <si>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</si>
  <si>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</si>
  <si>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</si>
  <si>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</si>
  <si>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</si>
  <si>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</si>
  <si>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</si>
  <si>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</si>
  <si>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</si>
  <si>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</si>
  <si>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</si>
  <si>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</si>
  <si>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</si>
  <si>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</si>
  <si>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</si>
  <si>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</si>
  <si>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</si>
  <si>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</si>
  <si>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</si>
  <si>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</si>
  <si>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</si>
  <si>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</si>
  <si>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</si>
  <si>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</si>
  <si>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</si>
  <si>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</si>
  <si>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</si>
  <si>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</si>
  <si>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</si>
  <si>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</si>
  <si>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</si>
  <si>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</si>
  <si>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</si>
  <si>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</si>
  <si>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</si>
  <si>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</si>
  <si>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</si>
  <si>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</si>
  <si>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</si>
  <si>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</si>
  <si>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</si>
  <si>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</si>
  <si>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</si>
  <si>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</si>
  <si>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</si>
  <si>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</si>
  <si>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</si>
  <si>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</si>
  <si>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</si>
  <si>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</si>
  <si>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</si>
  <si>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</si>
  <si>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</si>
  <si>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</si>
  <si>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</si>
  <si>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</si>
  <si>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</si>
  <si>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</si>
  <si>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</si>
  <si>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</si>
  <si>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</si>
  <si>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</si>
  <si>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</si>
  <si>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</si>
  <si>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</si>
  <si>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</si>
  <si>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</si>
  <si>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</si>
  <si>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</si>
  <si>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</si>
  <si>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</si>
  <si>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</si>
  <si>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</si>
  <si>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</si>
  <si>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</si>
  <si>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</si>
  <si>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</si>
  <si>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</si>
  <si>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</si>
  <si>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</si>
  <si>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</si>
  <si>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</si>
  <si>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</si>
  <si>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</si>
  <si>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</si>
  <si>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</si>
  <si>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</si>
  <si>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</si>
  <si>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</si>
  <si>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</si>
  <si>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</si>
  <si>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</si>
  <si>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</si>
  <si>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</si>
  <si>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</si>
  <si>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</si>
  <si>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</si>
  <si>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</si>
  <si>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</si>
  <si>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</si>
  <si>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</si>
  <si>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</si>
  <si>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</si>
  <si>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</si>
  <si>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</si>
  <si>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</si>
  <si>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</si>
  <si>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</si>
  <si>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</si>
  <si>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</si>
  <si>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</si>
  <si>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</si>
  <si>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</si>
  <si>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</si>
  <si>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</si>
  <si>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</si>
  <si>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</si>
  <si>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</si>
  <si>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</si>
  <si>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</si>
  <si>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</si>
  <si>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</si>
  <si>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</si>
  <si>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</si>
  <si>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</si>
  <si>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</si>
  <si>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</si>
  <si>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</si>
  <si>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</si>
  <si>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</si>
  <si>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</si>
  <si>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</si>
  <si>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CAMPBELLSVILLE-TAYLOR COUNTY CHAMBER OF COMMERCE</t>
  </si>
  <si>
    <t>CAVE CITY CHAMBER OF COMMERCE</t>
  </si>
  <si>
    <t>CRITTENDEN COUNTY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</si>
  <si>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</si>
  <si>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</si>
  <si>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</si>
  <si>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</si>
  <si>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</si>
  <si>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</si>
  <si>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GREENSBURG-GREEN CO. CHAMBER OF COMMERCE</t>
  </si>
  <si>
    <t>HART COUNTY CHAMBER OF COMMERCE</t>
  </si>
  <si>
    <t>HOPKINS COUNTY HOME BUILDERS ASSOCIATION</t>
  </si>
  <si>
    <t>KENTUCKY ASSOCIATION OF MANUFACTURERS</t>
  </si>
  <si>
    <t>KENTUCKY GAS ASSOCIATION</t>
  </si>
  <si>
    <t>LAKE BARKLEY CHAMBER OF COMMERCE</t>
  </si>
  <si>
    <t>LEADERSHIP KENTUCKY</t>
  </si>
  <si>
    <t>LINCOLN COUNTY CHAMBER OF COMMERCE</t>
  </si>
  <si>
    <t>MARION MAIN STREET INC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</si>
  <si>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</si>
  <si>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</si>
  <si>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</si>
  <si>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</si>
  <si>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</si>
  <si>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</si>
  <si>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</si>
  <si>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</si>
  <si>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</si>
  <si>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</si>
  <si>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</si>
  <si>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</si>
  <si>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</si>
  <si>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Danville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</si>
  <si>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</si>
  <si>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</si>
  <si>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</si>
  <si>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</si>
  <si>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</si>
  <si>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</si>
  <si>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</si>
  <si>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</si>
  <si>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</si>
  <si>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</si>
  <si>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</si>
  <si>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</si>
  <si>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</si>
  <si>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</si>
  <si>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</si>
  <si>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</si>
  <si>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>normalized use per customer in the test year, and changes in gas costs between the periods.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</si>
  <si>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</si>
  <si>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</si>
  <si>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increases and reductions, new plants and closings, shifts to transportion service from base period </t>
  </si>
  <si>
    <t>to test year and changes in gas costs between the periods.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</si>
  <si>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</si>
  <si>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</si>
  <si>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</si>
  <si>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</si>
  <si>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</si>
  <si>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changes in demand for existing industries and account for migration to transportation service from </t>
  </si>
  <si>
    <t>sales services.</t>
  </si>
  <si>
    <t>average normalized use per customer in the test year, and changes in gas costs between the periods.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</si>
  <si>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</si>
  <si>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</si>
  <si>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</si>
  <si>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</si>
  <si>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</si>
  <si>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</si>
  <si>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</si>
  <si>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</si>
  <si>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</si>
  <si>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</si>
  <si>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</si>
  <si>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</si>
  <si>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</si>
  <si>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</si>
  <si>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</si>
  <si>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</si>
  <si>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</si>
  <si>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</si>
  <si>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</si>
  <si>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</si>
  <si>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</si>
  <si>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</si>
  <si>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</si>
  <si>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</si>
  <si>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</si>
  <si>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President and CEO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</si>
  <si>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</si>
  <si>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</si>
  <si>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</si>
  <si>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</si>
  <si>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</si>
  <si>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</si>
  <si>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</si>
  <si>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</si>
  <si>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</si>
  <si>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as of September 30, 2016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</si>
  <si>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</si>
  <si>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</si>
  <si>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</si>
  <si>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</si>
  <si>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</si>
  <si>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</si>
  <si>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</si>
  <si>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</si>
  <si>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</si>
  <si>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</si>
  <si>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</si>
  <si>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</si>
  <si>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</si>
  <si>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</si>
  <si>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</si>
  <si>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</si>
  <si>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</si>
  <si>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</si>
  <si>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</si>
  <si>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</si>
  <si>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</si>
  <si>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</si>
  <si>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</si>
  <si>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</si>
  <si>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</si>
  <si>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</si>
  <si>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</si>
  <si>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</si>
  <si>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Waller, Smith</t>
  </si>
  <si>
    <t>Witness: Waller</t>
  </si>
  <si>
    <t>Witness:  Waller, Smith</t>
  </si>
  <si>
    <t>Witness: Schneider, Waller</t>
  </si>
  <si>
    <t>Witness: Schneider, Smith</t>
  </si>
  <si>
    <t>Witness: Schneider, Smith, and Waller</t>
  </si>
  <si>
    <t>OM for KY-2015.xlsx</t>
  </si>
  <si>
    <t>KY Plant Data-2015.xlsx</t>
  </si>
  <si>
    <t xml:space="preserve">Depreciation  Expense - The purpose of this adjustment is to reflect the change in </t>
  </si>
  <si>
    <t xml:space="preserve"> 2015 * * Composite Tax Rate Calculation:  6.00% + 35%(100% - 6.00%)  =  38.900%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</si>
  <si>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</si>
  <si>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</si>
  <si>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</si>
  <si>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</si>
  <si>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</si>
  <si>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</si>
  <si>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</si>
  <si>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</si>
  <si>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</si>
  <si>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Thirteen Month Average as of September 30, 2016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</si>
  <si>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</si>
  <si>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</si>
  <si>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</si>
  <si>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</si>
  <si>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</si>
  <si>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</si>
  <si>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</si>
  <si>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</si>
  <si>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</si>
  <si>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</si>
  <si>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</si>
  <si>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</si>
  <si>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</si>
  <si>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</si>
  <si>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</si>
  <si>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</si>
  <si>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</si>
  <si>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</si>
  <si>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</si>
  <si>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</si>
  <si>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</si>
  <si>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</si>
  <si>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</si>
  <si>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</si>
  <si>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</si>
  <si>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</si>
  <si>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</si>
  <si>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</si>
  <si>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</si>
  <si>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</si>
  <si>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div 9 labor analysis-2015.xlsx</t>
  </si>
  <si>
    <t>div 2</t>
  </si>
  <si>
    <t>div 12</t>
  </si>
  <si>
    <t>div 91</t>
  </si>
  <si>
    <t>KY Revenue &amp; Billing Unit Forecast 2015 Case.xlsx</t>
  </si>
  <si>
    <t>Commercial Revenue</t>
  </si>
  <si>
    <t>Industrial Revenue</t>
  </si>
  <si>
    <t>2018</t>
  </si>
  <si>
    <t>Base Period: Twelve Months Ended February 29, 2016</t>
  </si>
  <si>
    <t>Forecasted Test Period: Twelve Months Ended May 31, 2017</t>
  </si>
  <si>
    <t>as of February 29, 2016</t>
  </si>
  <si>
    <t>as of May 31, 2017</t>
  </si>
  <si>
    <t>forecasted</t>
  </si>
  <si>
    <t>4060</t>
  </si>
  <si>
    <t>Field measuring and regulating station expenses</t>
  </si>
  <si>
    <t>39924-Oth Tang Prop - Gen.</t>
  </si>
  <si>
    <t>2010</t>
  </si>
  <si>
    <t>2011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</si>
  <si>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</si>
  <si>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</si>
  <si>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</si>
  <si>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</si>
  <si>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</si>
  <si>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</si>
  <si>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</si>
  <si>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</si>
  <si>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BOWLING GREEN AREA CHAMBER OF COMMERCE</t>
  </si>
  <si>
    <t>BUILDING INDUSTRY ASSOCIATION OF GREATER LOUISVILLE</t>
  </si>
  <si>
    <t>CHAMBER OF COMMERCE</t>
  </si>
  <si>
    <t>CHRISTIAN COUNTY CHAMBER OF COMMERCE</t>
  </si>
  <si>
    <t>GARRARD COUNTY</t>
  </si>
  <si>
    <t>GARRARD COUNTY CHAMBER OF COMMERCE</t>
  </si>
  <si>
    <t>GREATER OWENSBORO ECONOMIC DEVELOPMENT CORP</t>
  </si>
  <si>
    <t>JUNIOR ACHIEVEMENT OF WEST KENTUCKY</t>
  </si>
  <si>
    <t>KENTUCKY CHAMBER</t>
  </si>
  <si>
    <t>KENTUCKY CHAMBER OF COMMERCE EXECUTIVES</t>
  </si>
  <si>
    <t>KENTUCKY LAKE CHAMBER OF COMMERCE</t>
  </si>
  <si>
    <t>KENTUCKY OIL AND GAS ASSOCIATION</t>
  </si>
  <si>
    <t>KIWANIS CLUB</t>
  </si>
  <si>
    <t>KY STATE BOARD FOR LICENSURE FOR PROFESSIONAL ENGINEERS</t>
  </si>
  <si>
    <t>LEADERSHIP SHELBY</t>
  </si>
  <si>
    <t>LOGAN ECONOMIC ALLIANCE FOR DEVELOPMENT</t>
  </si>
  <si>
    <t>MADISONVILLE-HOPKINS COUNTY CHAMBER OF COMMERCE</t>
  </si>
  <si>
    <t>MARION COUNTY CHAMBER OF COMMERCE</t>
  </si>
  <si>
    <t>MAYFIELD/GRAVES COUNTY CHAMBER OF COMMERCE</t>
  </si>
  <si>
    <t>PRINCETON/CALDWELL COUNTY CHAMBER OF COMMERCE</t>
  </si>
  <si>
    <t>ROTARY CLUB INTERNATIONAL</t>
  </si>
  <si>
    <t>SOUTHWESTERN KENTUCKY ECONOMIC DEVELOPMENT COUNCIL</t>
  </si>
  <si>
    <t>SPRINGFIELD-WASHINGTON COUNTY CHAMBER OF COMMERCE</t>
  </si>
  <si>
    <t>TEXAS BOARD OF PROFESSIONAL ENGINEERS -OWENSBORO, KY</t>
  </si>
  <si>
    <t>TRIGG COUNTY CHAMBER OF COMMERCE</t>
  </si>
  <si>
    <t>WARREN COUNTY CLERK</t>
  </si>
  <si>
    <t>Retirement Work in Progress Recon</t>
  </si>
  <si>
    <t>Transmission-Maintenance of me - Non-Inventory Supplies 8650-02005</t>
  </si>
  <si>
    <t>2019</t>
  </si>
  <si>
    <t>Glasgow</t>
  </si>
  <si>
    <t>Oct 16 - May 17</t>
  </si>
  <si>
    <t>Budgeted labor O&amp;M percentage for FY2016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</si>
  <si>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</si>
  <si>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</si>
  <si>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</si>
  <si>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</si>
  <si>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</si>
  <si>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</si>
  <si>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</si>
  <si>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</si>
  <si>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</si>
  <si>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</si>
  <si>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</si>
  <si>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</si>
  <si>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</si>
  <si>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</si>
  <si>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</si>
  <si>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</si>
  <si>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</si>
  <si>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</si>
  <si>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</si>
  <si>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</si>
  <si>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</si>
  <si>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</si>
  <si>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</si>
  <si>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</si>
  <si>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</si>
  <si>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</si>
  <si>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</si>
  <si>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</si>
  <si>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</si>
  <si>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</si>
  <si>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</si>
  <si>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</si>
  <si>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</si>
  <si>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</si>
  <si>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</si>
  <si>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</si>
  <si>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</si>
  <si>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ADIT for KY Fall 2015.xlsx</t>
  </si>
  <si>
    <t>Change in NOLC</t>
  </si>
  <si>
    <t>Jun-16</t>
  </si>
  <si>
    <t>Jul-16</t>
  </si>
  <si>
    <t>Aug-16</t>
  </si>
  <si>
    <t>Oct-16</t>
  </si>
  <si>
    <t>Sep-16</t>
  </si>
  <si>
    <t>Nov-16</t>
  </si>
  <si>
    <t>Dec-16</t>
  </si>
  <si>
    <t>Jan-17</t>
  </si>
  <si>
    <t>Feb-17</t>
  </si>
  <si>
    <t>Mar-17</t>
  </si>
  <si>
    <t>Apr-17</t>
  </si>
  <si>
    <t>May 17</t>
  </si>
  <si>
    <t>May-16</t>
  </si>
  <si>
    <t>Regulated Asset Balance</t>
  </si>
  <si>
    <t>Amortization Expense</t>
  </si>
  <si>
    <t>Rate Case (2 year Amortization)</t>
  </si>
  <si>
    <t>PLR Regulatory Asset</t>
  </si>
  <si>
    <t xml:space="preserve">Two (2) Year Amortization of Rate Case Expenses </t>
  </si>
  <si>
    <t>(13 Month Average)</t>
  </si>
  <si>
    <t>F.6</t>
  </si>
  <si>
    <t>Regulatory Assets</t>
  </si>
  <si>
    <t>misc jurirep BS accts-fall 2015.xlsx</t>
  </si>
  <si>
    <t>ADIT for KY-Fall 2015.xlsx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</si>
  <si>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</si>
  <si>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</si>
  <si>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</si>
  <si>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</si>
  <si>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</si>
  <si>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</si>
  <si>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</si>
  <si>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</si>
  <si>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</si>
  <si>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</si>
  <si>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</si>
  <si>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Base Period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</si>
  <si>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</si>
  <si>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</si>
  <si>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</si>
  <si>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</si>
  <si>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</si>
  <si>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</si>
  <si>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</si>
  <si>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</si>
  <si>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</si>
  <si>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</si>
  <si>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</si>
  <si>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</si>
  <si>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</si>
  <si>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</si>
  <si>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</si>
  <si>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</si>
  <si>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</si>
  <si>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</si>
  <si>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</si>
  <si>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Kentucky Jurisdiction Case No. 2015-00343</t>
  </si>
  <si>
    <t>KY Plant Data-Fall 2015.xlsx</t>
  </si>
  <si>
    <t>OM for KY-Fall 2015.xlsx</t>
  </si>
  <si>
    <t>Income Statement Activity Mar15-Jul15.xlsx</t>
  </si>
  <si>
    <t>Gas Cost by FERC-Fall 2015.xlsx</t>
  </si>
  <si>
    <t>OM for KY - Fall 2015.xlsx</t>
  </si>
  <si>
    <t>misc Finrep retrievals-fall 2015.xlsx</t>
  </si>
  <si>
    <t>F6 Schedule Rate Case Expenses.xls</t>
  </si>
  <si>
    <t>Copy of Workpaper G.3 -- Executive Compensation.xlsx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</si>
  <si>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</si>
  <si>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</si>
  <si>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</si>
  <si>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</si>
  <si>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</si>
  <si>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Benefits Rates Calc as of 09-08-15.xlsx</t>
  </si>
  <si>
    <t>6.75% Debentures Unsecured due July 2028</t>
  </si>
  <si>
    <t>6.67% MTN A1 due Dec 2025</t>
  </si>
  <si>
    <t>4.95% Sr Note due 10/15/2014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</si>
  <si>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</si>
  <si>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</si>
  <si>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</si>
  <si>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</si>
  <si>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</si>
  <si>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</si>
  <si>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</si>
  <si>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</si>
  <si>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</si>
  <si>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</si>
  <si>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</si>
  <si>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</si>
  <si>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</si>
  <si>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>misc jurirep BS accts-Fall 2015.xlsx</t>
  </si>
  <si>
    <t>Jurirep DTB activity-fall 2015.xlsx</t>
  </si>
  <si>
    <t>Jurirep DTB activity-Fall 2015.xlsx</t>
  </si>
  <si>
    <t xml:space="preserve">Gas Purchase Costs - The purpose of this Adjustment is to reflect the  purchase quantities </t>
  </si>
  <si>
    <t>for sales service.  The Base Period includes -$3.9MM of Unbilled Gas Costs that will zero out by the end</t>
  </si>
  <si>
    <t>is due to the Base Period being a colder than normal period and higher gas cost than the forecast period</t>
  </si>
  <si>
    <t>The difference between the adjusted Base Period Gas Cost of $81MM and the forecast period of $79MM</t>
  </si>
  <si>
    <t>of the base period when replaced by actuals.  This effectively brings the Base Period Gas cost to $81MM.</t>
  </si>
  <si>
    <t>Includes 5 Officers</t>
  </si>
  <si>
    <t>volumes due to colder weather in base period, continued efficiency gains in this market lowering the</t>
  </si>
  <si>
    <t xml:space="preserve">due to colder weather in base period, continued efficiency gains in this market lowering the average </t>
  </si>
  <si>
    <t>due primarily to adjustments to labor capitalization rate and budgeted merit increase versus the base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</si>
</sst>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color indexed="8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sz val="12"/>
      <color indexed="20"/>
      <name val="Arial MT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color indexed="17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4">
    <xf numFmtId="37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3" fillId="0" borderId="0"/>
    <xf numFmtId="37" fontId="4" fillId="0" borderId="0" applyProtection="0"/>
    <xf numFmtId="0" fontId="27" fillId="0" borderId="0"/>
    <xf numFmtId="0" fontId="27" fillId="0" borderId="0"/>
    <xf numFmtId="40" fontId="34" fillId="2" borderId="0">
      <alignment horizontal="right"/>
    </xf>
    <xf numFmtId="0" fontId="35" fillId="3" borderId="0">
      <alignment horizontal="center"/>
    </xf>
    <xf numFmtId="0" fontId="36" fillId="2" borderId="1"/>
    <xf numFmtId="0" fontId="37" fillId="0" borderId="0" applyBorder="0">
      <alignment horizontal="centerContinuous"/>
    </xf>
    <xf numFmtId="0" fontId="38" fillId="0" borderId="0" applyBorder="0">
      <alignment horizontal="centerContinuous"/>
    </xf>
    <xf numFmtId="9" fontId="3" fillId="0" borderId="0" applyFont="0" applyFill="0" applyBorder="0" applyAlignment="0" applyProtection="0"/>
    <xf numFmtId="0" fontId="64" fillId="0" borderId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4" fillId="0" borderId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4" fillId="0" borderId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2" fillId="0" borderId="0"/>
    <xf numFmtId="0" fontId="27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1273">
    <xf numFmtId="37" fontId="0" fillId="0" borderId="0" xfId="0"/>
    <xf numFmtId="37" fontId="4" fillId="0" borderId="0" xfId="0" applyFont="1"/>
    <xf numFmtId="37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2" xfId="0" applyFont="1" applyBorder="1" applyAlignment="1" applyProtection="1">
      <alignment horizontal="left"/>
    </xf>
    <xf numFmtId="37" fontId="4" fillId="0" borderId="2" xfId="0" applyFont="1" applyBorder="1"/>
    <xf numFmtId="165" fontId="4" fillId="0" borderId="2" xfId="0" applyNumberFormat="1" applyFont="1" applyBorder="1" applyProtection="1"/>
    <xf numFmtId="165" fontId="4" fillId="0" borderId="0" xfId="0" applyNumberFormat="1" applyFont="1" applyProtection="1"/>
    <xf numFmtId="37" fontId="4" fillId="0" borderId="2" xfId="0" applyFont="1" applyBorder="1" applyAlignment="1" applyProtection="1">
      <alignment horizontal="center"/>
    </xf>
    <xf numFmtId="37" fontId="4" fillId="0" borderId="0" xfId="0" applyNumberFormat="1" applyFont="1" applyProtection="1"/>
    <xf numFmtId="10" fontId="4" fillId="0" borderId="0" xfId="0" applyNumberFormat="1" applyFont="1" applyProtection="1"/>
    <xf numFmtId="37" fontId="5" fillId="0" borderId="0" xfId="0" applyFont="1"/>
    <xf numFmtId="37" fontId="4" fillId="0" borderId="3" xfId="0" applyFont="1" applyBorder="1"/>
    <xf numFmtId="167" fontId="4" fillId="0" borderId="0" xfId="0" applyNumberFormat="1" applyFont="1" applyProtection="1"/>
    <xf numFmtId="168" fontId="4" fillId="0" borderId="0" xfId="0" applyNumberFormat="1" applyFont="1" applyProtection="1"/>
    <xf numFmtId="37" fontId="6" fillId="0" borderId="0" xfId="0" applyFont="1"/>
    <xf numFmtId="37" fontId="6" fillId="0" borderId="0" xfId="0" applyFont="1" applyAlignment="1" applyProtection="1">
      <alignment horizontal="left"/>
    </xf>
    <xf numFmtId="37" fontId="4" fillId="0" borderId="2" xfId="0" applyNumberFormat="1" applyFont="1" applyBorder="1" applyProtection="1"/>
    <xf numFmtId="37" fontId="7" fillId="0" borderId="0" xfId="0" applyNumberFormat="1" applyFont="1" applyProtection="1"/>
    <xf numFmtId="10" fontId="7" fillId="0" borderId="0" xfId="0" applyNumberFormat="1" applyFont="1" applyProtection="1"/>
    <xf numFmtId="37" fontId="8" fillId="0" borderId="0" xfId="0" applyNumberFormat="1" applyFont="1" applyProtection="1">
      <protection locked="0"/>
    </xf>
    <xf numFmtId="37" fontId="4" fillId="0" borderId="0" xfId="0" applyNumberFormat="1" applyFont="1" applyAlignment="1" applyProtection="1">
      <alignment horizontal="right"/>
    </xf>
    <xf numFmtId="173" fontId="4" fillId="0" borderId="0" xfId="0" applyNumberFormat="1" applyFont="1" applyProtection="1"/>
    <xf numFmtId="37" fontId="4" fillId="0" borderId="0" xfId="0" applyNumberFormat="1" applyFont="1" applyAlignment="1" applyProtection="1">
      <alignment horizontal="center"/>
    </xf>
    <xf numFmtId="169" fontId="4" fillId="0" borderId="0" xfId="0" applyNumberFormat="1" applyFont="1" applyProtection="1"/>
    <xf numFmtId="37" fontId="6" fillId="0" borderId="0" xfId="0" applyFont="1" applyAlignment="1" applyProtection="1">
      <alignment horizontal="center"/>
    </xf>
    <xf numFmtId="10" fontId="4" fillId="0" borderId="2" xfId="0" applyNumberFormat="1" applyFont="1" applyBorder="1" applyProtection="1"/>
    <xf numFmtId="174" fontId="4" fillId="0" borderId="0" xfId="0" applyNumberFormat="1" applyFont="1" applyProtection="1"/>
    <xf numFmtId="37" fontId="8" fillId="0" borderId="0" xfId="0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5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left"/>
    </xf>
    <xf numFmtId="37" fontId="4" fillId="0" borderId="3" xfId="0" applyFont="1" applyBorder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5" fillId="0" borderId="4" xfId="0" applyFont="1" applyBorder="1" applyAlignment="1" applyProtection="1">
      <alignment horizontal="center"/>
    </xf>
    <xf numFmtId="37" fontId="8" fillId="0" borderId="3" xfId="0" applyFont="1" applyBorder="1" applyProtection="1">
      <protection locked="0"/>
    </xf>
    <xf numFmtId="172" fontId="8" fillId="0" borderId="0" xfId="0" applyNumberFormat="1" applyFont="1" applyProtection="1">
      <protection locked="0"/>
    </xf>
    <xf numFmtId="5" fontId="4" fillId="0" borderId="0" xfId="0" applyNumberFormat="1" applyFont="1" applyProtection="1"/>
    <xf numFmtId="171" fontId="4" fillId="0" borderId="0" xfId="0" applyNumberFormat="1" applyFont="1" applyProtection="1"/>
    <xf numFmtId="37" fontId="4" fillId="0" borderId="0" xfId="0" applyFont="1" applyAlignment="1">
      <alignment horizontal="centerContinuous"/>
    </xf>
    <xf numFmtId="167" fontId="4" fillId="0" borderId="0" xfId="0" applyNumberFormat="1" applyFont="1" applyAlignment="1" applyProtection="1">
      <alignment horizontal="centerContinuous"/>
    </xf>
    <xf numFmtId="168" fontId="4" fillId="0" borderId="0" xfId="0" applyNumberFormat="1" applyFont="1" applyAlignment="1" applyProtection="1">
      <alignment horizontal="centerContinuous"/>
    </xf>
    <xf numFmtId="37" fontId="4" fillId="0" borderId="0" xfId="0" applyFont="1" applyAlignment="1" applyProtection="1">
      <alignment horizontal="centerContinuous"/>
    </xf>
    <xf numFmtId="37" fontId="4" fillId="0" borderId="5" xfId="0" applyFont="1" applyBorder="1" applyAlignment="1" applyProtection="1">
      <alignment horizontal="center"/>
    </xf>
    <xf numFmtId="37" fontId="4" fillId="0" borderId="5" xfId="0" applyFont="1" applyBorder="1"/>
    <xf numFmtId="37" fontId="4" fillId="0" borderId="0" xfId="0" applyFont="1" applyBorder="1" applyAlignment="1" applyProtection="1">
      <alignment horizontal="center"/>
    </xf>
    <xf numFmtId="37" fontId="4" fillId="0" borderId="0" xfId="0" applyFont="1" applyBorder="1"/>
    <xf numFmtId="37" fontId="9" fillId="0" borderId="0" xfId="0" applyFont="1"/>
    <xf numFmtId="37" fontId="9" fillId="0" borderId="0" xfId="0" applyFont="1" applyAlignment="1" applyProtection="1">
      <alignment horizontal="left"/>
    </xf>
    <xf numFmtId="37" fontId="9" fillId="0" borderId="2" xfId="0" applyFont="1" applyBorder="1" applyAlignment="1" applyProtection="1">
      <alignment horizontal="left"/>
    </xf>
    <xf numFmtId="37" fontId="9" fillId="0" borderId="2" xfId="0" applyFont="1" applyBorder="1"/>
    <xf numFmtId="37" fontId="9" fillId="0" borderId="2" xfId="0" applyFont="1" applyBorder="1" applyAlignment="1" applyProtection="1">
      <alignment horizontal="left"/>
      <protection locked="0"/>
    </xf>
    <xf numFmtId="37" fontId="9" fillId="0" borderId="0" xfId="0" applyNumberFormat="1" applyFont="1" applyProtection="1">
      <protection locked="0"/>
    </xf>
    <xf numFmtId="37" fontId="9" fillId="0" borderId="0" xfId="0" applyNumberFormat="1" applyFont="1" applyProtection="1"/>
    <xf numFmtId="37" fontId="4" fillId="0" borderId="0" xfId="0" applyFont="1" applyAlignment="1"/>
    <xf numFmtId="37" fontId="4" fillId="0" borderId="0" xfId="0" applyFont="1" applyAlignment="1" applyProtection="1"/>
    <xf numFmtId="37" fontId="4" fillId="0" borderId="2" xfId="0" applyFont="1" applyBorder="1" applyAlignment="1"/>
    <xf numFmtId="37" fontId="4" fillId="0" borderId="2" xfId="0" applyFont="1" applyBorder="1" applyAlignment="1" applyProtection="1"/>
    <xf numFmtId="37" fontId="6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6" fillId="0" borderId="0" xfId="0" applyFont="1" applyAlignment="1" applyProtection="1">
      <alignment horizontal="left"/>
      <protection locked="0"/>
    </xf>
    <xf numFmtId="37" fontId="4" fillId="0" borderId="5" xfId="0" applyNumberFormat="1" applyFont="1" applyBorder="1" applyProtection="1"/>
    <xf numFmtId="37" fontId="4" fillId="0" borderId="0" xfId="0" applyNumberFormat="1" applyFont="1" applyBorder="1" applyProtection="1"/>
    <xf numFmtId="37" fontId="8" fillId="0" borderId="0" xfId="0" applyFont="1" applyAlignment="1" applyProtection="1">
      <alignment horizontal="centerContinuous"/>
      <protection locked="0"/>
    </xf>
    <xf numFmtId="176" fontId="4" fillId="0" borderId="0" xfId="0" applyNumberFormat="1" applyFont="1" applyProtection="1"/>
    <xf numFmtId="10" fontId="4" fillId="0" borderId="0" xfId="13" applyNumberFormat="1" applyFont="1" applyProtection="1"/>
    <xf numFmtId="10" fontId="4" fillId="0" borderId="2" xfId="13" applyNumberFormat="1" applyFont="1" applyBorder="1" applyProtection="1"/>
    <xf numFmtId="10" fontId="4" fillId="0" borderId="0" xfId="13" applyNumberFormat="1" applyFont="1"/>
    <xf numFmtId="10" fontId="7" fillId="0" borderId="0" xfId="13" applyNumberFormat="1" applyFont="1" applyProtection="1"/>
    <xf numFmtId="37" fontId="4" fillId="0" borderId="0" xfId="0" applyFont="1" applyBorder="1" applyAlignment="1" applyProtection="1">
      <alignment horizontal="left"/>
    </xf>
    <xf numFmtId="37" fontId="4" fillId="0" borderId="0" xfId="0" applyFont="1" applyBorder="1" applyAlignment="1" applyProtection="1"/>
    <xf numFmtId="37" fontId="4" fillId="0" borderId="0" xfId="0" applyFont="1" applyBorder="1" applyAlignment="1"/>
    <xf numFmtId="37" fontId="4" fillId="0" borderId="5" xfId="0" applyFont="1" applyBorder="1" applyAlignment="1" applyProtection="1">
      <alignment horizontal="left"/>
    </xf>
    <xf numFmtId="37" fontId="4" fillId="0" borderId="0" xfId="0" applyNumberFormat="1" applyFont="1" applyProtection="1">
      <protection locked="0"/>
    </xf>
    <xf numFmtId="37" fontId="0" fillId="0" borderId="5" xfId="0" applyBorder="1"/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0" fontId="0" fillId="0" borderId="0" xfId="13" applyNumberFormat="1" applyFont="1"/>
    <xf numFmtId="37" fontId="4" fillId="2" borderId="0" xfId="0" applyFont="1" applyFill="1"/>
    <xf numFmtId="37" fontId="4" fillId="0" borderId="5" xfId="0" applyFont="1" applyBorder="1" applyAlignment="1">
      <alignment horizontal="center"/>
    </xf>
    <xf numFmtId="37" fontId="0" fillId="0" borderId="0" xfId="0" applyBorder="1"/>
    <xf numFmtId="9" fontId="4" fillId="0" borderId="0" xfId="13" applyFont="1"/>
    <xf numFmtId="37" fontId="10" fillId="0" borderId="0" xfId="0" applyFont="1" applyAlignment="1">
      <alignment horizontal="centerContinuous"/>
    </xf>
    <xf numFmtId="37" fontId="0" fillId="0" borderId="5" xfId="0" applyBorder="1" applyAlignment="1">
      <alignment horizontal="center"/>
    </xf>
    <xf numFmtId="37" fontId="4" fillId="0" borderId="7" xfId="0" applyFont="1" applyBorder="1"/>
    <xf numFmtId="37" fontId="10" fillId="0" borderId="5" xfId="0" applyFont="1" applyBorder="1"/>
    <xf numFmtId="37" fontId="9" fillId="0" borderId="5" xfId="0" applyFont="1" applyBorder="1"/>
    <xf numFmtId="37" fontId="13" fillId="0" borderId="0" xfId="0" applyNumberFormat="1" applyFont="1" applyProtection="1"/>
    <xf numFmtId="37" fontId="14" fillId="0" borderId="0" xfId="0" applyFont="1"/>
    <xf numFmtId="37" fontId="14" fillId="0" borderId="0" xfId="0" applyNumberFormat="1" applyFont="1" applyProtection="1"/>
    <xf numFmtId="37" fontId="0" fillId="0" borderId="0" xfId="0" applyBorder="1" applyAlignment="1">
      <alignment horizontal="center"/>
    </xf>
    <xf numFmtId="37" fontId="14" fillId="0" borderId="0" xfId="0" applyFont="1" applyAlignment="1" applyProtection="1">
      <alignment horizontal="centerContinuous"/>
      <protection locked="0"/>
    </xf>
    <xf numFmtId="37" fontId="4" fillId="0" borderId="8" xfId="0" applyFont="1" applyBorder="1"/>
    <xf numFmtId="37" fontId="0" fillId="0" borderId="9" xfId="0" applyBorder="1"/>
    <xf numFmtId="37" fontId="14" fillId="0" borderId="0" xfId="0" applyFont="1" applyAlignment="1" applyProtection="1">
      <alignment horizontal="left"/>
    </xf>
    <xf numFmtId="10" fontId="14" fillId="0" borderId="0" xfId="13" applyNumberFormat="1" applyFont="1" applyAlignment="1" applyProtection="1">
      <alignment horizontal="center"/>
    </xf>
    <xf numFmtId="37" fontId="13" fillId="0" borderId="0" xfId="0" applyNumberFormat="1" applyFont="1" applyFill="1" applyProtection="1"/>
    <xf numFmtId="37" fontId="4" fillId="0" borderId="0" xfId="0" applyNumberFormat="1" applyFont="1" applyBorder="1" applyAlignment="1" applyProtection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Border="1"/>
    <xf numFmtId="37" fontId="4" fillId="0" borderId="0" xfId="0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Protection="1"/>
    <xf numFmtId="37" fontId="10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4" fillId="0" borderId="0" xfId="0" applyFont="1" applyFill="1"/>
    <xf numFmtId="37" fontId="4" fillId="0" borderId="5" xfId="0" applyFont="1" applyFill="1" applyBorder="1"/>
    <xf numFmtId="37" fontId="4" fillId="0" borderId="5" xfId="0" applyNumberFormat="1" applyFont="1" applyFill="1" applyBorder="1" applyProtection="1"/>
    <xf numFmtId="37" fontId="9" fillId="0" borderId="0" xfId="0" applyFont="1" applyFill="1"/>
    <xf numFmtId="37" fontId="14" fillId="0" borderId="0" xfId="0" applyNumberFormat="1" applyFont="1" applyBorder="1" applyProtection="1"/>
    <xf numFmtId="37" fontId="4" fillId="0" borderId="2" xfId="0" applyNumberFormat="1" applyFont="1" applyFill="1" applyBorder="1" applyProtection="1"/>
    <xf numFmtId="37" fontId="14" fillId="0" borderId="0" xfId="0" applyNumberFormat="1" applyFont="1" applyFill="1" applyProtection="1"/>
    <xf numFmtId="37" fontId="14" fillId="0" borderId="0" xfId="0" applyNumberFormat="1" applyFont="1" applyFill="1" applyBorder="1" applyProtection="1"/>
    <xf numFmtId="37" fontId="4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4" fillId="0" borderId="0" xfId="0" applyFont="1" applyBorder="1"/>
    <xf numFmtId="37" fontId="0" fillId="0" borderId="5" xfId="0" applyFont="1" applyBorder="1"/>
    <xf numFmtId="37" fontId="14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6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6" xfId="0" applyBorder="1"/>
    <xf numFmtId="37" fontId="0" fillId="0" borderId="0" xfId="0" applyNumberFormat="1" applyFont="1" applyProtection="1"/>
    <xf numFmtId="37" fontId="14" fillId="0" borderId="0" xfId="0" applyFont="1" applyFill="1" applyBorder="1"/>
    <xf numFmtId="37" fontId="0" fillId="0" borderId="0" xfId="0" applyNumberFormat="1" applyFont="1" applyFill="1" applyProtection="1"/>
    <xf numFmtId="37" fontId="0" fillId="0" borderId="10" xfId="0" applyBorder="1"/>
    <xf numFmtId="37" fontId="0" fillId="0" borderId="2" xfId="0" applyNumberFormat="1" applyFont="1" applyFill="1" applyBorder="1" applyProtection="1"/>
    <xf numFmtId="164" fontId="4" fillId="0" borderId="0" xfId="0" applyNumberFormat="1" applyFont="1" applyFill="1" applyProtection="1"/>
    <xf numFmtId="0" fontId="16" fillId="0" borderId="11" xfId="0" applyNumberFormat="1" applyFont="1" applyBorder="1" applyAlignment="1">
      <alignment horizontal="centerContinuous"/>
    </xf>
    <xf numFmtId="0" fontId="0" fillId="0" borderId="12" xfId="0" applyNumberFormat="1" applyBorder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37" fontId="4" fillId="0" borderId="14" xfId="0" applyFont="1" applyBorder="1"/>
    <xf numFmtId="37" fontId="4" fillId="0" borderId="15" xfId="0" applyFont="1" applyBorder="1" applyAlignment="1" applyProtection="1">
      <alignment horizontal="center"/>
    </xf>
    <xf numFmtId="37" fontId="4" fillId="0" borderId="16" xfId="0" applyFont="1" applyBorder="1" applyAlignment="1" applyProtection="1">
      <alignment horizontal="center"/>
    </xf>
    <xf numFmtId="37" fontId="4" fillId="0" borderId="17" xfId="0" applyFont="1" applyBorder="1"/>
    <xf numFmtId="37" fontId="4" fillId="0" borderId="17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center"/>
    </xf>
    <xf numFmtId="10" fontId="14" fillId="0" borderId="0" xfId="13" applyNumberFormat="1" applyFont="1" applyProtection="1"/>
    <xf numFmtId="9" fontId="4" fillId="0" borderId="0" xfId="0" applyNumberFormat="1" applyFont="1"/>
    <xf numFmtId="10" fontId="4" fillId="0" borderId="6" xfId="13" applyNumberFormat="1" applyFont="1" applyBorder="1"/>
    <xf numFmtId="10" fontId="8" fillId="0" borderId="0" xfId="0" applyNumberFormat="1" applyFont="1" applyProtection="1"/>
    <xf numFmtId="169" fontId="8" fillId="0" borderId="0" xfId="0" applyNumberFormat="1" applyFont="1" applyProtection="1"/>
    <xf numFmtId="5" fontId="4" fillId="0" borderId="10" xfId="0" applyNumberFormat="1" applyFont="1" applyBorder="1"/>
    <xf numFmtId="10" fontId="4" fillId="0" borderId="0" xfId="0" applyNumberFormat="1" applyFont="1" applyFill="1" applyProtection="1"/>
    <xf numFmtId="37" fontId="7" fillId="0" borderId="0" xfId="0" applyNumberFormat="1" applyFont="1" applyFill="1" applyProtection="1"/>
    <xf numFmtId="10" fontId="7" fillId="0" borderId="0" xfId="0" applyNumberFormat="1" applyFont="1" applyFill="1" applyProtection="1"/>
    <xf numFmtId="37" fontId="18" fillId="0" borderId="0" xfId="0" applyFont="1"/>
    <xf numFmtId="37" fontId="13" fillId="0" borderId="0" xfId="0" applyFont="1" applyFill="1" applyAlignment="1" applyProtection="1">
      <alignment horizontal="left"/>
    </xf>
    <xf numFmtId="37" fontId="4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4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applyFont="1" applyBorder="1" applyProtection="1"/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15" fillId="0" borderId="0" xfId="0" applyFont="1"/>
    <xf numFmtId="37" fontId="0" fillId="0" borderId="0" xfId="0" applyFont="1" applyFill="1" applyProtection="1">
      <protection locked="0"/>
    </xf>
    <xf numFmtId="10" fontId="14" fillId="0" borderId="0" xfId="13" applyNumberFormat="1" applyFont="1" applyFill="1" applyProtection="1"/>
    <xf numFmtId="5" fontId="4" fillId="0" borderId="10" xfId="0" applyNumberFormat="1" applyFont="1" applyBorder="1" applyProtection="1"/>
    <xf numFmtId="10" fontId="16" fillId="0" borderId="6" xfId="13" applyNumberFormat="1" applyFont="1" applyBorder="1"/>
    <xf numFmtId="37" fontId="14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8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167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  <protection locked="0"/>
    </xf>
    <xf numFmtId="168" fontId="0" fillId="0" borderId="0" xfId="0" applyNumberFormat="1" applyFont="1" applyAlignment="1" applyProtection="1">
      <alignment horizontal="centerContinuous"/>
    </xf>
    <xf numFmtId="37" fontId="0" fillId="0" borderId="0" xfId="0" applyFont="1" applyAlignment="1" applyProtection="1">
      <alignment horizontal="left"/>
      <protection locked="0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Font="1" applyProtection="1">
      <protection locked="0"/>
    </xf>
    <xf numFmtId="37" fontId="0" fillId="0" borderId="0" xfId="0" applyNumberFormat="1" applyFont="1" applyFill="1" applyProtection="1">
      <protection locked="0"/>
    </xf>
    <xf numFmtId="169" fontId="7" fillId="0" borderId="0" xfId="0" applyNumberFormat="1" applyFont="1" applyFill="1" applyProtection="1"/>
    <xf numFmtId="37" fontId="7" fillId="0" borderId="0" xfId="0" applyFont="1" applyFill="1" applyProtection="1"/>
    <xf numFmtId="169" fontId="0" fillId="0" borderId="0" xfId="0" applyNumberFormat="1" applyFont="1" applyProtection="1"/>
    <xf numFmtId="37" fontId="0" fillId="0" borderId="0" xfId="0" applyNumberFormat="1" applyFont="1" applyProtection="1">
      <protection locked="0"/>
    </xf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20" fillId="0" borderId="0" xfId="0" applyNumberFormat="1" applyFont="1"/>
    <xf numFmtId="3" fontId="0" fillId="0" borderId="0" xfId="1" applyNumberFormat="1" applyFont="1"/>
    <xf numFmtId="181" fontId="19" fillId="0" borderId="0" xfId="0" applyNumberFormat="1" applyFont="1"/>
    <xf numFmtId="37" fontId="21" fillId="0" borderId="0" xfId="0" applyNumberFormat="1" applyFont="1"/>
    <xf numFmtId="37" fontId="21" fillId="0" borderId="0" xfId="1" applyNumberFormat="1" applyFont="1"/>
    <xf numFmtId="37" fontId="21" fillId="0" borderId="0" xfId="0" applyFont="1"/>
    <xf numFmtId="182" fontId="21" fillId="0" borderId="0" xfId="2" applyNumberFormat="1" applyFont="1"/>
    <xf numFmtId="37" fontId="21" fillId="0" borderId="5" xfId="0" applyNumberFormat="1" applyFont="1" applyBorder="1"/>
    <xf numFmtId="182" fontId="21" fillId="0" borderId="6" xfId="2" applyNumberFormat="1" applyFont="1" applyBorder="1"/>
    <xf numFmtId="37" fontId="22" fillId="0" borderId="0" xfId="0" applyFont="1"/>
    <xf numFmtId="37" fontId="23" fillId="0" borderId="0" xfId="0" applyFont="1"/>
    <xf numFmtId="37" fontId="21" fillId="0" borderId="0" xfId="0" quotePrefix="1" applyFont="1" applyAlignment="1">
      <alignment horizontal="left" indent="3"/>
    </xf>
    <xf numFmtId="37" fontId="4" fillId="0" borderId="0" xfId="0" applyFont="1" applyFill="1" applyAlignment="1">
      <alignment horizontal="centerContinuous"/>
    </xf>
    <xf numFmtId="37" fontId="4" fillId="0" borderId="2" xfId="0" applyFont="1" applyFill="1" applyBorder="1"/>
    <xf numFmtId="10" fontId="4" fillId="0" borderId="0" xfId="0" applyNumberFormat="1" applyFont="1"/>
    <xf numFmtId="37" fontId="14" fillId="0" borderId="0" xfId="0" applyNumberFormat="1" applyFont="1" applyFill="1" applyBorder="1" applyProtection="1">
      <protection locked="0"/>
    </xf>
    <xf numFmtId="37" fontId="9" fillId="0" borderId="0" xfId="0" applyNumberFormat="1" applyFont="1"/>
    <xf numFmtId="37" fontId="4" fillId="0" borderId="5" xfId="0" applyFont="1" applyBorder="1" applyAlignment="1"/>
    <xf numFmtId="37" fontId="4" fillId="0" borderId="0" xfId="0" applyNumberFormat="1" applyFont="1" applyAlignment="1">
      <alignment horizontal="right"/>
    </xf>
    <xf numFmtId="37" fontId="4" fillId="0" borderId="0" xfId="0" applyFont="1" applyAlignment="1">
      <alignment horizontal="left" indent="2"/>
    </xf>
    <xf numFmtId="37" fontId="4" fillId="0" borderId="0" xfId="0" applyFont="1" applyAlignment="1">
      <alignment horizontal="left" indent="3"/>
    </xf>
    <xf numFmtId="10" fontId="4" fillId="0" borderId="5" xfId="13" applyNumberFormat="1" applyFont="1" applyBorder="1"/>
    <xf numFmtId="37" fontId="4" fillId="0" borderId="5" xfId="0" applyNumberFormat="1" applyFont="1" applyBorder="1" applyAlignment="1" applyProtection="1">
      <alignment horizontal="right"/>
    </xf>
    <xf numFmtId="169" fontId="4" fillId="0" borderId="5" xfId="13" applyNumberFormat="1" applyFont="1" applyBorder="1" applyAlignment="1" applyProtection="1">
      <alignment horizontal="right"/>
    </xf>
    <xf numFmtId="37" fontId="16" fillId="0" borderId="0" xfId="0" applyFont="1" applyAlignment="1">
      <alignment horizontal="left" indent="1"/>
    </xf>
    <xf numFmtId="37" fontId="16" fillId="0" borderId="0" xfId="0" applyNumberFormat="1" applyFont="1" applyBorder="1" applyAlignment="1" applyProtection="1">
      <alignment horizontal="right"/>
    </xf>
    <xf numFmtId="37" fontId="15" fillId="0" borderId="0" xfId="0" applyFont="1" applyAlignment="1"/>
    <xf numFmtId="10" fontId="4" fillId="0" borderId="0" xfId="13" applyNumberFormat="1" applyFont="1" applyAlignment="1"/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37" fontId="4" fillId="0" borderId="0" xfId="0" applyFont="1" applyAlignment="1" applyProtection="1">
      <alignment horizontal="left" indent="2"/>
    </xf>
    <xf numFmtId="49" fontId="0" fillId="0" borderId="5" xfId="0" applyNumberFormat="1" applyBorder="1" applyAlignment="1">
      <alignment horizontal="centerContinuous"/>
    </xf>
    <xf numFmtId="37" fontId="4" fillId="0" borderId="0" xfId="0" applyFont="1" applyAlignment="1">
      <alignment horizontal="left" indent="1"/>
    </xf>
    <xf numFmtId="173" fontId="4" fillId="0" borderId="0" xfId="0" applyNumberFormat="1" applyFont="1" applyFill="1" applyProtection="1"/>
    <xf numFmtId="49" fontId="4" fillId="0" borderId="0" xfId="0" applyNumberFormat="1" applyFont="1" applyBorder="1" applyAlignment="1">
      <alignment horizontal="centerContinuous"/>
    </xf>
    <xf numFmtId="49" fontId="16" fillId="0" borderId="0" xfId="0" applyNumberFormat="1" applyFont="1" applyBorder="1" applyAlignment="1">
      <alignment horizontal="centerContinuous"/>
    </xf>
    <xf numFmtId="37" fontId="4" fillId="0" borderId="0" xfId="0" applyFont="1" applyFill="1" applyAlignment="1" applyProtection="1">
      <alignment horizontal="centerContinuous"/>
    </xf>
    <xf numFmtId="37" fontId="4" fillId="0" borderId="0" xfId="0" applyNumberFormat="1" applyFont="1" applyBorder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4" fillId="0" borderId="0" xfId="0" applyFont="1" applyFill="1" applyAlignment="1" applyProtection="1">
      <alignment horizontal="centerContinuous"/>
      <protection locked="0"/>
    </xf>
    <xf numFmtId="37" fontId="26" fillId="0" borderId="0" xfId="0" applyFont="1" applyAlignment="1" applyProtection="1">
      <alignment horizontal="centerContinuous"/>
    </xf>
    <xf numFmtId="37" fontId="26" fillId="0" borderId="0" xfId="0" applyNumberFormat="1" applyFont="1" applyFill="1" applyProtection="1"/>
    <xf numFmtId="37" fontId="12" fillId="0" borderId="0" xfId="0" applyFont="1" applyFill="1" applyAlignment="1" applyProtection="1">
      <alignment horizontal="left"/>
    </xf>
    <xf numFmtId="37" fontId="12" fillId="0" borderId="0" xfId="0" applyFont="1" applyFill="1"/>
    <xf numFmtId="37" fontId="0" fillId="0" borderId="0" xfId="0" applyFill="1" applyAlignment="1">
      <alignment horizontal="center"/>
    </xf>
    <xf numFmtId="0" fontId="30" fillId="0" borderId="0" xfId="6" applyFont="1"/>
    <xf numFmtId="43" fontId="30" fillId="0" borderId="0" xfId="1" applyFont="1"/>
    <xf numFmtId="43" fontId="30" fillId="0" borderId="0" xfId="1" applyFont="1" applyFill="1"/>
    <xf numFmtId="37" fontId="32" fillId="0" borderId="0" xfId="0" applyFont="1"/>
    <xf numFmtId="9" fontId="0" fillId="0" borderId="0" xfId="13" applyFont="1"/>
    <xf numFmtId="37" fontId="10" fillId="0" borderId="0" xfId="0" applyFont="1" applyAlignment="1" applyProtection="1">
      <alignment horizontal="left"/>
    </xf>
    <xf numFmtId="10" fontId="14" fillId="0" borderId="0" xfId="0" applyNumberFormat="1" applyFont="1" applyAlignment="1" applyProtection="1">
      <alignment horizontal="center"/>
    </xf>
    <xf numFmtId="5" fontId="31" fillId="0" borderId="0" xfId="1" applyNumberFormat="1" applyFont="1" applyBorder="1"/>
    <xf numFmtId="169" fontId="31" fillId="0" borderId="0" xfId="13" applyNumberFormat="1" applyFont="1"/>
    <xf numFmtId="185" fontId="4" fillId="0" borderId="0" xfId="1" applyNumberFormat="1" applyFont="1" applyProtection="1"/>
    <xf numFmtId="0" fontId="27" fillId="0" borderId="0" xfId="7"/>
    <xf numFmtId="37" fontId="4" fillId="0" borderId="21" xfId="0" applyFont="1" applyBorder="1"/>
    <xf numFmtId="37" fontId="9" fillId="0" borderId="2" xfId="0" applyFont="1" applyFill="1" applyBorder="1"/>
    <xf numFmtId="37" fontId="0" fillId="0" borderId="0" xfId="0" applyNumberFormat="1" applyFill="1"/>
    <xf numFmtId="9" fontId="4" fillId="0" borderId="0" xfId="13" applyFont="1" applyProtection="1"/>
    <xf numFmtId="37" fontId="4" fillId="0" borderId="5" xfId="0" applyFont="1" applyFill="1" applyBorder="1" applyAlignment="1" applyProtection="1">
      <alignment horizontal="center"/>
    </xf>
    <xf numFmtId="37" fontId="4" fillId="0" borderId="0" xfId="0" applyFont="1" applyAlignment="1" applyProtection="1">
      <alignment horizontal="centerContinuous"/>
      <protection locked="0"/>
    </xf>
    <xf numFmtId="37" fontId="10" fillId="0" borderId="0" xfId="0" applyNumberFormat="1" applyFont="1" applyProtection="1"/>
    <xf numFmtId="37" fontId="10" fillId="0" borderId="0" xfId="0" applyFont="1" applyAlignment="1" applyProtection="1">
      <alignment horizontal="center"/>
    </xf>
    <xf numFmtId="37" fontId="10" fillId="0" borderId="5" xfId="0" applyNumberFormat="1" applyFont="1" applyBorder="1" applyProtection="1"/>
    <xf numFmtId="37" fontId="10" fillId="0" borderId="2" xfId="0" applyFont="1" applyBorder="1"/>
    <xf numFmtId="37" fontId="10" fillId="0" borderId="0" xfId="0" applyFont="1" applyBorder="1"/>
    <xf numFmtId="37" fontId="10" fillId="0" borderId="2" xfId="0" applyNumberFormat="1" applyFont="1" applyBorder="1" applyProtection="1"/>
    <xf numFmtId="37" fontId="10" fillId="0" borderId="5" xfId="0" applyFont="1" applyBorder="1" applyAlignment="1" applyProtection="1">
      <alignment horizontal="left"/>
    </xf>
    <xf numFmtId="9" fontId="10" fillId="0" borderId="0" xfId="13" applyFont="1"/>
    <xf numFmtId="37" fontId="10" fillId="0" borderId="0" xfId="0" applyNumberFormat="1" applyFont="1" applyFill="1" applyBorder="1" applyProtection="1"/>
    <xf numFmtId="37" fontId="10" fillId="0" borderId="0" xfId="0" applyFont="1" applyFill="1"/>
    <xf numFmtId="37" fontId="39" fillId="0" borderId="0" xfId="0" applyFont="1"/>
    <xf numFmtId="37" fontId="40" fillId="0" borderId="0" xfId="0" applyFont="1" applyAlignment="1" applyProtection="1">
      <alignment horizontal="left"/>
    </xf>
    <xf numFmtId="173" fontId="4" fillId="0" borderId="5" xfId="0" applyNumberFormat="1" applyFont="1" applyFill="1" applyBorder="1" applyProtection="1"/>
    <xf numFmtId="173" fontId="4" fillId="0" borderId="0" xfId="0" applyNumberFormat="1" applyFont="1" applyFill="1"/>
    <xf numFmtId="173" fontId="7" fillId="0" borderId="0" xfId="0" applyNumberFormat="1" applyFont="1" applyProtection="1"/>
    <xf numFmtId="37" fontId="14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10" fillId="0" borderId="0" xfId="0" applyFont="1" applyFill="1" applyAlignment="1">
      <alignment horizontal="centerContinuous"/>
    </xf>
    <xf numFmtId="37" fontId="10" fillId="2" borderId="0" xfId="0" applyFont="1" applyFill="1"/>
    <xf numFmtId="37" fontId="10" fillId="0" borderId="2" xfId="0" applyFont="1" applyBorder="1" applyAlignment="1" applyProtection="1">
      <alignment horizontal="left"/>
    </xf>
    <xf numFmtId="37" fontId="10" fillId="0" borderId="2" xfId="0" applyFont="1" applyFill="1" applyBorder="1" applyAlignment="1" applyProtection="1">
      <alignment horizontal="left"/>
      <protection locked="0"/>
    </xf>
    <xf numFmtId="37" fontId="10" fillId="0" borderId="0" xfId="0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center"/>
      <protection locked="0"/>
    </xf>
    <xf numFmtId="37" fontId="10" fillId="0" borderId="2" xfId="0" applyFont="1" applyBorder="1" applyAlignment="1" applyProtection="1">
      <alignment horizontal="left"/>
      <protection locked="0"/>
    </xf>
    <xf numFmtId="17" fontId="10" fillId="0" borderId="22" xfId="0" applyNumberFormat="1" applyFont="1" applyFill="1" applyBorder="1" applyAlignment="1">
      <alignment horizontal="center"/>
    </xf>
    <xf numFmtId="37" fontId="10" fillId="0" borderId="22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10" fillId="0" borderId="0" xfId="0" applyFont="1" applyFill="1" applyAlignment="1" applyProtection="1">
      <alignment horizontal="center"/>
    </xf>
    <xf numFmtId="37" fontId="23" fillId="0" borderId="0" xfId="0" applyFont="1" applyFill="1"/>
    <xf numFmtId="183" fontId="23" fillId="0" borderId="0" xfId="0" applyNumberFormat="1" applyFont="1" applyAlignment="1" applyProtection="1">
      <alignment horizontal="left"/>
      <protection locked="0"/>
    </xf>
    <xf numFmtId="37" fontId="23" fillId="0" borderId="0" xfId="0" quotePrefix="1" applyFont="1"/>
    <xf numFmtId="37" fontId="41" fillId="0" borderId="0" xfId="0" applyFont="1"/>
    <xf numFmtId="37" fontId="41" fillId="2" borderId="0" xfId="0" applyFont="1" applyFill="1"/>
    <xf numFmtId="5" fontId="41" fillId="0" borderId="10" xfId="0" applyNumberFormat="1" applyFont="1" applyBorder="1"/>
    <xf numFmtId="5" fontId="41" fillId="0" borderId="0" xfId="0" applyNumberFormat="1" applyFont="1" applyBorder="1"/>
    <xf numFmtId="37" fontId="41" fillId="0" borderId="0" xfId="0" applyFont="1" applyFill="1"/>
    <xf numFmtId="10" fontId="41" fillId="0" borderId="0" xfId="13" applyNumberFormat="1" applyFont="1"/>
    <xf numFmtId="37" fontId="41" fillId="0" borderId="0" xfId="0" applyFont="1" applyBorder="1"/>
    <xf numFmtId="37" fontId="41" fillId="0" borderId="0" xfId="0" applyFont="1" applyFill="1" applyBorder="1"/>
    <xf numFmtId="37" fontId="10" fillId="0" borderId="0" xfId="0" applyFont="1" applyProtection="1">
      <protection locked="0"/>
    </xf>
    <xf numFmtId="37" fontId="4" fillId="0" borderId="0" xfId="0" applyFont="1" applyBorder="1" applyAlignment="1">
      <alignment horizontal="center"/>
    </xf>
    <xf numFmtId="37" fontId="10" fillId="0" borderId="5" xfId="0" applyFont="1" applyBorder="1" applyAlignment="1">
      <alignment horizontal="center"/>
    </xf>
    <xf numFmtId="37" fontId="10" fillId="0" borderId="0" xfId="0" applyNumberFormat="1" applyFont="1" applyFill="1" applyProtection="1"/>
    <xf numFmtId="37" fontId="10" fillId="0" borderId="0" xfId="0" quotePrefix="1" applyFont="1" applyBorder="1" applyAlignment="1">
      <alignment horizontal="left"/>
    </xf>
    <xf numFmtId="10" fontId="10" fillId="0" borderId="0" xfId="13" applyNumberFormat="1" applyFont="1" applyBorder="1" applyAlignment="1">
      <alignment horizontal="left"/>
    </xf>
    <xf numFmtId="37" fontId="10" fillId="0" borderId="0" xfId="0" applyFont="1" applyAlignment="1">
      <alignment horizontal="left" indent="1"/>
    </xf>
    <xf numFmtId="10" fontId="10" fillId="0" borderId="0" xfId="0" applyNumberFormat="1" applyFont="1" applyProtection="1"/>
    <xf numFmtId="37" fontId="10" fillId="0" borderId="2" xfId="0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0" fillId="0" borderId="0" xfId="0" applyFont="1" applyFill="1" applyBorder="1"/>
    <xf numFmtId="37" fontId="10" fillId="0" borderId="5" xfId="0" applyNumberFormat="1" applyFont="1" applyFill="1" applyBorder="1" applyProtection="1"/>
    <xf numFmtId="37" fontId="10" fillId="0" borderId="0" xfId="0" applyFont="1" applyAlignment="1"/>
    <xf numFmtId="37" fontId="10" fillId="0" borderId="0" xfId="0" applyFont="1" applyFill="1" applyAlignment="1" applyProtection="1">
      <alignment horizontal="left"/>
    </xf>
    <xf numFmtId="180" fontId="10" fillId="0" borderId="0" xfId="0" applyNumberFormat="1" applyFont="1" applyAlignment="1">
      <alignment horizontal="center"/>
    </xf>
    <xf numFmtId="37" fontId="43" fillId="0" borderId="0" xfId="0" applyFont="1"/>
    <xf numFmtId="37" fontId="10" fillId="0" borderId="2" xfId="0" applyFont="1" applyFill="1" applyBorder="1"/>
    <xf numFmtId="37" fontId="10" fillId="0" borderId="5" xfId="0" applyFont="1" applyFill="1" applyBorder="1"/>
    <xf numFmtId="37" fontId="10" fillId="0" borderId="0" xfId="0" applyNumberFormat="1" applyFont="1" applyFill="1" applyAlignment="1" applyProtection="1">
      <alignment horizontal="center"/>
    </xf>
    <xf numFmtId="37" fontId="14" fillId="0" borderId="2" xfId="0" applyFont="1" applyBorder="1" applyAlignment="1" applyProtection="1">
      <alignment horizontal="left"/>
    </xf>
    <xf numFmtId="37" fontId="14" fillId="0" borderId="2" xfId="0" applyFont="1" applyBorder="1"/>
    <xf numFmtId="37" fontId="14" fillId="0" borderId="0" xfId="0" applyFont="1" applyAlignment="1" applyProtection="1">
      <alignment horizontal="center"/>
    </xf>
    <xf numFmtId="37" fontId="14" fillId="0" borderId="0" xfId="0" applyFont="1" applyBorder="1" applyAlignment="1" applyProtection="1">
      <alignment horizontal="center"/>
    </xf>
    <xf numFmtId="10" fontId="14" fillId="0" borderId="0" xfId="0" applyNumberFormat="1" applyFont="1" applyBorder="1" applyProtection="1"/>
    <xf numFmtId="10" fontId="14" fillId="0" borderId="0" xfId="0" applyNumberFormat="1" applyFont="1" applyProtection="1"/>
    <xf numFmtId="37" fontId="10" fillId="0" borderId="0" xfId="0" applyFont="1" applyAlignment="1" applyProtection="1">
      <alignment horizontal="left" indent="2"/>
    </xf>
    <xf numFmtId="37" fontId="10" fillId="0" borderId="0" xfId="0" applyFont="1" applyAlignment="1">
      <alignment horizontal="left" indent="2"/>
    </xf>
    <xf numFmtId="37" fontId="23" fillId="0" borderId="0" xfId="0" applyFont="1" applyAlignment="1">
      <alignment horizontal="center"/>
    </xf>
    <xf numFmtId="37" fontId="4" fillId="0" borderId="23" xfId="0" applyFont="1" applyBorder="1"/>
    <xf numFmtId="37" fontId="10" fillId="0" borderId="0" xfId="0" applyFont="1" applyAlignment="1" applyProtection="1">
      <alignment horizontal="left" indent="1"/>
    </xf>
    <xf numFmtId="37" fontId="4" fillId="0" borderId="0" xfId="0" applyFont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4" fillId="0" borderId="2" xfId="0" applyFont="1" applyBorder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0" fillId="0" borderId="2" xfId="0" applyFont="1" applyBorder="1" applyAlignment="1" applyProtection="1">
      <alignment horizontal="center"/>
      <protection locked="0"/>
    </xf>
    <xf numFmtId="37" fontId="10" fillId="0" borderId="2" xfId="0" applyFont="1" applyBorder="1" applyAlignment="1">
      <alignment horizontal="center"/>
    </xf>
    <xf numFmtId="180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Protection="1">
      <protection locked="0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NumberFormat="1" applyFont="1" applyFill="1" applyProtection="1">
      <protection locked="0"/>
    </xf>
    <xf numFmtId="37" fontId="10" fillId="0" borderId="0" xfId="0" applyNumberFormat="1" applyFont="1"/>
    <xf numFmtId="37" fontId="10" fillId="0" borderId="0" xfId="0" applyFont="1" applyAlignment="1" applyProtection="1">
      <alignment horizontal="left" indent="1"/>
      <protection locked="0"/>
    </xf>
    <xf numFmtId="169" fontId="10" fillId="0" borderId="0" xfId="0" applyNumberFormat="1" applyFont="1" applyProtection="1"/>
    <xf numFmtId="37" fontId="10" fillId="0" borderId="0" xfId="0" applyFont="1" applyFill="1" applyAlignment="1" applyProtection="1">
      <alignment horizontal="left" indent="1"/>
      <protection locked="0"/>
    </xf>
    <xf numFmtId="37" fontId="10" fillId="0" borderId="0" xfId="0" applyNumberFormat="1" applyFont="1" applyFill="1" applyAlignment="1" applyProtection="1">
      <alignment horizontal="center"/>
      <protection locked="0"/>
    </xf>
    <xf numFmtId="37" fontId="10" fillId="0" borderId="2" xfId="0" applyNumberFormat="1" applyFont="1" applyBorder="1" applyProtection="1">
      <protection locked="0"/>
    </xf>
    <xf numFmtId="37" fontId="10" fillId="0" borderId="5" xfId="0" applyNumberFormat="1" applyFont="1" applyBorder="1" applyProtection="1">
      <protection locked="0"/>
    </xf>
    <xf numFmtId="37" fontId="10" fillId="0" borderId="0" xfId="0" quotePrefix="1" applyNumberFormat="1" applyFont="1" applyProtection="1"/>
    <xf numFmtId="37" fontId="44" fillId="0" borderId="0" xfId="0" quotePrefix="1" applyFont="1"/>
    <xf numFmtId="37" fontId="45" fillId="0" borderId="0" xfId="0" applyFont="1"/>
    <xf numFmtId="37" fontId="45" fillId="0" borderId="0" xfId="0" applyNumberFormat="1" applyFont="1" applyProtection="1"/>
    <xf numFmtId="180" fontId="45" fillId="0" borderId="0" xfId="0" applyNumberFormat="1" applyFont="1" applyAlignment="1" applyProtection="1">
      <alignment horizontal="center"/>
      <protection locked="0"/>
    </xf>
    <xf numFmtId="37" fontId="42" fillId="0" borderId="0" xfId="0" quotePrefix="1" applyFont="1"/>
    <xf numFmtId="10" fontId="45" fillId="0" borderId="0" xfId="0" applyNumberFormat="1" applyFont="1" applyProtection="1"/>
    <xf numFmtId="169" fontId="45" fillId="0" borderId="0" xfId="0" applyNumberFormat="1" applyFont="1" applyProtection="1"/>
    <xf numFmtId="37" fontId="14" fillId="0" borderId="0" xfId="0" applyFont="1" applyAlignment="1" applyProtection="1">
      <alignment horizontal="center"/>
      <protection locked="0"/>
    </xf>
    <xf numFmtId="37" fontId="14" fillId="0" borderId="0" xfId="0" applyFont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left"/>
      <protection locked="0"/>
    </xf>
    <xf numFmtId="37" fontId="14" fillId="0" borderId="2" xfId="0" applyFont="1" applyBorder="1" applyAlignment="1" applyProtection="1">
      <alignment horizontal="center"/>
      <protection locked="0"/>
    </xf>
    <xf numFmtId="37" fontId="14" fillId="0" borderId="0" xfId="0" applyFont="1" applyProtection="1">
      <protection locked="0"/>
    </xf>
    <xf numFmtId="37" fontId="15" fillId="0" borderId="0" xfId="0" applyFont="1" applyAlignment="1" applyProtection="1">
      <alignment horizontal="left"/>
      <protection locked="0"/>
    </xf>
    <xf numFmtId="37" fontId="14" fillId="0" borderId="0" xfId="0" applyFont="1" applyAlignment="1" applyProtection="1">
      <alignment horizontal="left" indent="2"/>
      <protection locked="0"/>
    </xf>
    <xf numFmtId="37" fontId="14" fillId="0" borderId="0" xfId="0" applyFont="1" applyAlignment="1" applyProtection="1">
      <protection locked="0"/>
    </xf>
    <xf numFmtId="37" fontId="14" fillId="0" borderId="0" xfId="0" applyFont="1" applyAlignment="1"/>
    <xf numFmtId="37" fontId="14" fillId="0" borderId="0" xfId="0" applyFont="1" applyBorder="1" applyAlignment="1" applyProtection="1">
      <alignment horizontal="left" indent="2"/>
      <protection locked="0"/>
    </xf>
    <xf numFmtId="37" fontId="17" fillId="0" borderId="0" xfId="0" applyNumberFormat="1" applyFont="1" applyFill="1" applyProtection="1"/>
    <xf numFmtId="37" fontId="15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1"/>
      <protection locked="0"/>
    </xf>
    <xf numFmtId="37" fontId="14" fillId="0" borderId="0" xfId="0" applyFont="1" applyAlignment="1" applyProtection="1">
      <alignment horizontal="left" indent="2"/>
    </xf>
    <xf numFmtId="37" fontId="15" fillId="0" borderId="0" xfId="0" applyFont="1" applyBorder="1" applyAlignment="1" applyProtection="1">
      <alignment horizontal="left" indent="1"/>
      <protection locked="0"/>
    </xf>
    <xf numFmtId="37" fontId="14" fillId="0" borderId="0" xfId="0" applyFont="1" applyAlignment="1" applyProtection="1"/>
    <xf numFmtId="37" fontId="10" fillId="0" borderId="0" xfId="0" applyFont="1" applyAlignment="1" applyProtection="1">
      <alignment horizontal="left" indent="2"/>
      <protection locked="0"/>
    </xf>
    <xf numFmtId="37" fontId="10" fillId="0" borderId="0" xfId="0" applyFont="1" applyAlignment="1" applyProtection="1">
      <protection locked="0"/>
    </xf>
    <xf numFmtId="37" fontId="10" fillId="0" borderId="0" xfId="0" applyFont="1" applyBorder="1" applyAlignment="1" applyProtection="1">
      <alignment horizontal="left" indent="2"/>
      <protection locked="0"/>
    </xf>
    <xf numFmtId="37" fontId="6" fillId="0" borderId="0" xfId="0" applyFont="1" applyAlignment="1" applyProtection="1">
      <alignment horizontal="left" indent="1"/>
      <protection locked="0"/>
    </xf>
    <xf numFmtId="37" fontId="10" fillId="0" borderId="0" xfId="0" applyFont="1" applyFill="1" applyAlignment="1" applyProtection="1">
      <alignment horizontal="center"/>
      <protection locked="0"/>
    </xf>
    <xf numFmtId="37" fontId="10" fillId="0" borderId="0" xfId="0" applyFont="1" applyAlignment="1" applyProtection="1"/>
    <xf numFmtId="37" fontId="5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43" fontId="41" fillId="0" borderId="0" xfId="1" applyFont="1"/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left"/>
    </xf>
    <xf numFmtId="177" fontId="10" fillId="0" borderId="0" xfId="1" applyNumberFormat="1" applyFont="1"/>
    <xf numFmtId="49" fontId="4" fillId="0" borderId="0" xfId="0" applyNumberFormat="1" applyFont="1" applyAlignment="1">
      <alignment horizontal="center"/>
    </xf>
    <xf numFmtId="37" fontId="16" fillId="0" borderId="5" xfId="0" applyFont="1" applyBorder="1" applyAlignment="1">
      <alignment horizontal="center"/>
    </xf>
    <xf numFmtId="10" fontId="4" fillId="0" borderId="0" xfId="0" applyNumberFormat="1" applyFont="1" applyBorder="1" applyProtection="1"/>
    <xf numFmtId="37" fontId="46" fillId="0" borderId="0" xfId="3" applyNumberFormat="1" applyFont="1" applyAlignment="1" applyProtection="1"/>
    <xf numFmtId="182" fontId="4" fillId="0" borderId="0" xfId="2" applyNumberFormat="1" applyFont="1"/>
    <xf numFmtId="182" fontId="4" fillId="0" borderId="0" xfId="2" applyNumberFormat="1" applyFont="1" applyFill="1" applyProtection="1"/>
    <xf numFmtId="182" fontId="10" fillId="0" borderId="0" xfId="2" applyNumberFormat="1" applyFont="1" applyFill="1" applyProtection="1"/>
    <xf numFmtId="182" fontId="4" fillId="0" borderId="6" xfId="2" applyNumberFormat="1" applyFont="1" applyBorder="1" applyProtection="1"/>
    <xf numFmtId="44" fontId="4" fillId="0" borderId="0" xfId="2" applyFont="1"/>
    <xf numFmtId="185" fontId="0" fillId="0" borderId="0" xfId="1" applyNumberFormat="1" applyFont="1"/>
    <xf numFmtId="185" fontId="10" fillId="0" borderId="0" xfId="1" applyNumberFormat="1" applyFont="1" applyFill="1" applyProtection="1"/>
    <xf numFmtId="185" fontId="10" fillId="0" borderId="5" xfId="1" applyNumberFormat="1" applyFont="1" applyFill="1" applyBorder="1" applyProtection="1"/>
    <xf numFmtId="185" fontId="0" fillId="0" borderId="5" xfId="1" applyNumberFormat="1" applyFont="1" applyBorder="1"/>
    <xf numFmtId="185" fontId="4" fillId="0" borderId="0" xfId="1" applyNumberFormat="1" applyFont="1"/>
    <xf numFmtId="185" fontId="4" fillId="0" borderId="5" xfId="1" applyNumberFormat="1" applyFont="1" applyBorder="1"/>
    <xf numFmtId="0" fontId="10" fillId="0" borderId="0" xfId="0" applyNumberFormat="1" applyFont="1" applyAlignment="1">
      <alignment horizontal="center"/>
    </xf>
    <xf numFmtId="37" fontId="10" fillId="2" borderId="5" xfId="0" applyFont="1" applyFill="1" applyBorder="1"/>
    <xf numFmtId="37" fontId="10" fillId="0" borderId="24" xfId="0" applyFont="1" applyBorder="1" applyAlignment="1" applyProtection="1">
      <alignment horizontal="center"/>
      <protection locked="0"/>
    </xf>
    <xf numFmtId="0" fontId="23" fillId="0" borderId="0" xfId="0" quotePrefix="1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37" fontId="10" fillId="0" borderId="5" xfId="0" applyFont="1" applyFill="1" applyBorder="1" applyAlignment="1" applyProtection="1">
      <alignment horizontal="left"/>
    </xf>
    <xf numFmtId="37" fontId="10" fillId="0" borderId="23" xfId="0" applyFont="1" applyFill="1" applyBorder="1"/>
    <xf numFmtId="37" fontId="10" fillId="0" borderId="21" xfId="0" applyFont="1" applyFill="1" applyBorder="1"/>
    <xf numFmtId="37" fontId="0" fillId="0" borderId="0" xfId="0" applyAlignment="1">
      <alignment horizontal="left" indent="1"/>
    </xf>
    <xf numFmtId="43" fontId="10" fillId="0" borderId="0" xfId="1" applyFont="1" applyAlignment="1" applyProtection="1">
      <alignment horizontal="left"/>
    </xf>
    <xf numFmtId="0" fontId="0" fillId="0" borderId="0" xfId="0" applyNumberFormat="1"/>
    <xf numFmtId="182" fontId="0" fillId="0" borderId="0" xfId="2" applyNumberFormat="1" applyFont="1"/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85" fontId="41" fillId="0" borderId="0" xfId="1" applyNumberFormat="1" applyFont="1"/>
    <xf numFmtId="10" fontId="10" fillId="0" borderId="0" xfId="13" applyNumberFormat="1" applyFont="1" applyFill="1" applyBorder="1"/>
    <xf numFmtId="40" fontId="36" fillId="2" borderId="0" xfId="8" applyFont="1" applyBorder="1" applyAlignment="1">
      <alignment horizontal="left"/>
    </xf>
    <xf numFmtId="37" fontId="14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10" xfId="2" applyNumberFormat="1" applyFont="1" applyBorder="1"/>
    <xf numFmtId="0" fontId="10" fillId="0" borderId="0" xfId="1" applyNumberFormat="1" applyFont="1" applyAlignment="1" applyProtection="1">
      <alignment horizontal="right"/>
    </xf>
    <xf numFmtId="182" fontId="0" fillId="0" borderId="0" xfId="2" applyNumberFormat="1" applyFont="1" applyFill="1" applyBorder="1"/>
    <xf numFmtId="43" fontId="0" fillId="0" borderId="5" xfId="1" applyFont="1" applyBorder="1"/>
    <xf numFmtId="43" fontId="16" fillId="0" borderId="0" xfId="1" applyFont="1" applyAlignment="1" applyProtection="1">
      <alignment horizontal="left"/>
    </xf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4" fillId="0" borderId="0" xfId="2" applyNumberFormat="1" applyFont="1" applyBorder="1"/>
    <xf numFmtId="43" fontId="4" fillId="0" borderId="0" xfId="1" applyFont="1" applyAlignment="1" applyProtection="1">
      <alignment horizontal="left"/>
    </xf>
    <xf numFmtId="182" fontId="4" fillId="0" borderId="10" xfId="2" applyNumberFormat="1" applyFont="1" applyBorder="1"/>
    <xf numFmtId="0" fontId="4" fillId="0" borderId="0" xfId="1" applyNumberFormat="1" applyFont="1" applyAlignment="1" applyProtection="1">
      <alignment horizontal="right"/>
    </xf>
    <xf numFmtId="182" fontId="4" fillId="0" borderId="0" xfId="2" applyNumberFormat="1" applyFont="1" applyFill="1" applyBorder="1"/>
    <xf numFmtId="182" fontId="4" fillId="0" borderId="10" xfId="2" applyNumberFormat="1" applyFont="1" applyFill="1" applyBorder="1"/>
    <xf numFmtId="182" fontId="4" fillId="0" borderId="6" xfId="2" applyNumberFormat="1" applyFont="1" applyBorder="1"/>
    <xf numFmtId="37" fontId="4" fillId="0" borderId="9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left"/>
    </xf>
    <xf numFmtId="37" fontId="4" fillId="0" borderId="1" xfId="0" applyFont="1" applyBorder="1" applyAlignment="1" applyProtection="1">
      <alignment horizontal="center"/>
    </xf>
    <xf numFmtId="37" fontId="4" fillId="0" borderId="21" xfId="0" applyFont="1" applyBorder="1" applyAlignment="1" applyProtection="1">
      <alignment horizontal="center"/>
    </xf>
    <xf numFmtId="37" fontId="4" fillId="0" borderId="25" xfId="0" applyFont="1" applyBorder="1" applyAlignment="1" applyProtection="1">
      <alignment horizontal="center"/>
    </xf>
    <xf numFmtId="37" fontId="4" fillId="0" borderId="8" xfId="0" applyFont="1" applyBorder="1" applyAlignment="1" applyProtection="1">
      <alignment horizontal="center"/>
    </xf>
    <xf numFmtId="37" fontId="4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</xf>
    <xf numFmtId="9" fontId="0" fillId="0" borderId="0" xfId="13" applyFont="1" applyBorder="1" applyAlignment="1">
      <alignment horizontal="center"/>
    </xf>
    <xf numFmtId="182" fontId="14" fillId="0" borderId="0" xfId="2" applyNumberFormat="1" applyFont="1" applyFill="1" applyProtection="1"/>
    <xf numFmtId="37" fontId="14" fillId="0" borderId="23" xfId="0" applyFont="1" applyBorder="1"/>
    <xf numFmtId="37" fontId="14" fillId="0" borderId="9" xfId="0" applyFont="1" applyBorder="1"/>
    <xf numFmtId="37" fontId="14" fillId="0" borderId="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center"/>
    </xf>
    <xf numFmtId="9" fontId="14" fillId="0" borderId="0" xfId="13" applyFont="1" applyAlignment="1" applyProtection="1">
      <alignment horizontal="center"/>
    </xf>
    <xf numFmtId="182" fontId="4" fillId="0" borderId="0" xfId="2" applyNumberFormat="1" applyFont="1" applyFill="1"/>
    <xf numFmtId="182" fontId="14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4" fillId="0" borderId="0" xfId="1" applyFont="1" applyFill="1" applyProtection="1"/>
    <xf numFmtId="43" fontId="14" fillId="0" borderId="5" xfId="1" applyFont="1" applyFill="1" applyBorder="1" applyProtection="1"/>
    <xf numFmtId="182" fontId="14" fillId="0" borderId="0" xfId="2" applyNumberFormat="1" applyFont="1" applyProtection="1"/>
    <xf numFmtId="185" fontId="14" fillId="0" borderId="0" xfId="1" applyNumberFormat="1" applyFont="1" applyProtection="1"/>
    <xf numFmtId="185" fontId="14" fillId="0" borderId="0" xfId="1" applyNumberFormat="1" applyFont="1" applyFill="1" applyProtection="1"/>
    <xf numFmtId="185" fontId="14" fillId="0" borderId="5" xfId="1" applyNumberFormat="1" applyFont="1" applyFill="1" applyBorder="1" applyProtection="1"/>
    <xf numFmtId="185" fontId="14" fillId="0" borderId="5" xfId="1" applyNumberFormat="1" applyFont="1" applyBorder="1" applyProtection="1"/>
    <xf numFmtId="185" fontId="4" fillId="0" borderId="0" xfId="1" applyNumberFormat="1" applyFont="1" applyFill="1" applyProtection="1"/>
    <xf numFmtId="185" fontId="14" fillId="0" borderId="0" xfId="1" applyNumberFormat="1" applyFont="1" applyBorder="1" applyProtection="1"/>
    <xf numFmtId="9" fontId="14" fillId="0" borderId="0" xfId="13" applyFont="1" applyFill="1" applyAlignment="1" applyProtection="1">
      <alignment horizontal="center"/>
    </xf>
    <xf numFmtId="10" fontId="14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4" fillId="2" borderId="5" xfId="0" applyFont="1" applyFill="1" applyBorder="1"/>
    <xf numFmtId="37" fontId="4" fillId="0" borderId="2" xfId="0" applyFont="1" applyFill="1" applyBorder="1" applyAlignment="1" applyProtection="1">
      <alignment horizontal="left"/>
      <protection locked="0"/>
    </xf>
    <xf numFmtId="37" fontId="4" fillId="0" borderId="7" xfId="0" applyFont="1" applyBorder="1" applyAlignment="1" applyProtection="1">
      <alignment horizontal="left"/>
      <protection locked="0"/>
    </xf>
    <xf numFmtId="37" fontId="4" fillId="0" borderId="5" xfId="0" applyFont="1" applyBorder="1" applyAlignment="1" applyProtection="1">
      <alignment horizontal="left"/>
      <protection locked="0"/>
    </xf>
    <xf numFmtId="37" fontId="4" fillId="0" borderId="22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83" fontId="4" fillId="0" borderId="0" xfId="0" applyNumberFormat="1" applyFont="1" applyAlignment="1">
      <alignment horizontal="left"/>
    </xf>
    <xf numFmtId="183" fontId="4" fillId="0" borderId="0" xfId="0" applyNumberFormat="1" applyFont="1" applyAlignment="1" applyProtection="1">
      <alignment horizontal="left"/>
      <protection locked="0"/>
    </xf>
    <xf numFmtId="37" fontId="4" fillId="0" borderId="0" xfId="0" quotePrefix="1" applyFont="1"/>
    <xf numFmtId="5" fontId="4" fillId="0" borderId="0" xfId="0" applyNumberFormat="1" applyFont="1" applyBorder="1"/>
    <xf numFmtId="37" fontId="0" fillId="0" borderId="7" xfId="0" applyBorder="1" applyAlignment="1">
      <alignment horizontal="center"/>
    </xf>
    <xf numFmtId="183" fontId="4" fillId="0" borderId="0" xfId="0" applyNumberFormat="1" applyFont="1" applyFill="1" applyAlignment="1">
      <alignment horizontal="left"/>
    </xf>
    <xf numFmtId="37" fontId="4" fillId="0" borderId="24" xfId="0" applyFont="1" applyBorder="1" applyAlignment="1" applyProtection="1">
      <alignment horizontal="center"/>
      <protection locked="0"/>
    </xf>
    <xf numFmtId="17" fontId="4" fillId="0" borderId="22" xfId="0" applyNumberFormat="1" applyFont="1" applyFill="1" applyBorder="1" applyAlignment="1">
      <alignment horizontal="center"/>
    </xf>
    <xf numFmtId="0" fontId="4" fillId="0" borderId="0" xfId="0" quotePrefix="1" applyNumberFormat="1" applyFont="1" applyAlignment="1">
      <alignment horizontal="center"/>
    </xf>
    <xf numFmtId="185" fontId="10" fillId="0" borderId="0" xfId="1" applyNumberFormat="1" applyFont="1" applyFill="1" applyBorder="1" applyProtection="1"/>
    <xf numFmtId="0" fontId="23" fillId="0" borderId="0" xfId="0" applyNumberFormat="1" applyFont="1" applyFill="1" applyAlignment="1">
      <alignment horizontal="center"/>
    </xf>
    <xf numFmtId="185" fontId="23" fillId="0" borderId="0" xfId="1" applyNumberFormat="1" applyFont="1" applyFill="1" applyAlignment="1">
      <alignment horizontal="center"/>
    </xf>
    <xf numFmtId="37" fontId="41" fillId="0" borderId="0" xfId="0" applyFont="1" applyFill="1" applyAlignment="1">
      <alignment horizontal="left" indent="1"/>
    </xf>
    <xf numFmtId="0" fontId="23" fillId="0" borderId="0" xfId="0" applyNumberFormat="1" applyFont="1" applyFill="1" applyAlignment="1">
      <alignment horizontal="left"/>
    </xf>
    <xf numFmtId="185" fontId="23" fillId="0" borderId="0" xfId="1" applyNumberFormat="1" applyFont="1" applyFill="1" applyAlignment="1">
      <alignment horizontal="left"/>
    </xf>
    <xf numFmtId="10" fontId="4" fillId="2" borderId="5" xfId="13" applyNumberFormat="1" applyFont="1" applyFill="1" applyBorder="1"/>
    <xf numFmtId="37" fontId="4" fillId="0" borderId="2" xfId="0" applyFont="1" applyBorder="1" applyAlignment="1">
      <alignment horizontal="center"/>
    </xf>
    <xf numFmtId="37" fontId="4" fillId="0" borderId="0" xfId="0" applyFont="1" applyFill="1" applyBorder="1" applyAlignment="1">
      <alignment horizontal="centerContinuous"/>
    </xf>
    <xf numFmtId="180" fontId="4" fillId="0" borderId="0" xfId="0" applyNumberFormat="1" applyFont="1" applyProtection="1"/>
    <xf numFmtId="180" fontId="4" fillId="0" borderId="0" xfId="0" applyNumberFormat="1" applyFont="1"/>
    <xf numFmtId="180" fontId="4" fillId="0" borderId="0" xfId="0" quotePrefix="1" applyNumberFormat="1" applyFont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Font="1" applyAlignment="1">
      <alignment horizontal="right"/>
    </xf>
    <xf numFmtId="185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185" fontId="4" fillId="0" borderId="0" xfId="1" applyNumberFormat="1" applyFont="1" applyBorder="1" applyProtection="1"/>
    <xf numFmtId="185" fontId="4" fillId="0" borderId="0" xfId="1" applyNumberFormat="1" applyFont="1" applyBorder="1"/>
    <xf numFmtId="185" fontId="4" fillId="0" borderId="0" xfId="1" applyNumberFormat="1" applyFont="1" applyFill="1" applyBorder="1"/>
    <xf numFmtId="185" fontId="4" fillId="0" borderId="0" xfId="1" applyNumberFormat="1" applyFont="1" applyFill="1" applyBorder="1" applyAlignment="1" applyProtection="1">
      <alignment horizontal="center"/>
    </xf>
    <xf numFmtId="185" fontId="4" fillId="0" borderId="0" xfId="1" applyNumberFormat="1" applyFont="1" applyBorder="1" applyAlignment="1" applyProtection="1">
      <alignment horizontal="center"/>
    </xf>
    <xf numFmtId="185" fontId="4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6" fillId="0" borderId="5" xfId="0" applyFont="1" applyBorder="1"/>
    <xf numFmtId="10" fontId="41" fillId="0" borderId="5" xfId="13" applyNumberFormat="1" applyFont="1" applyFill="1" applyBorder="1"/>
    <xf numFmtId="37" fontId="4" fillId="0" borderId="0" xfId="0" applyFont="1" applyFill="1" applyAlignment="1" applyProtection="1">
      <alignment horizontal="center"/>
      <protection locked="0"/>
    </xf>
    <xf numFmtId="37" fontId="41" fillId="0" borderId="0" xfId="0" applyFont="1" applyFill="1" applyAlignment="1">
      <alignment horizontal="right"/>
    </xf>
    <xf numFmtId="37" fontId="4" fillId="0" borderId="0" xfId="0" applyFont="1" applyFill="1" applyBorder="1" applyAlignment="1">
      <alignment horizontal="right"/>
    </xf>
    <xf numFmtId="37" fontId="4" fillId="0" borderId="23" xfId="0" applyFont="1" applyBorder="1" applyAlignment="1" applyProtection="1">
      <alignment horizontal="left"/>
    </xf>
    <xf numFmtId="37" fontId="4" fillId="0" borderId="9" xfId="0" applyFont="1" applyBorder="1"/>
    <xf numFmtId="37" fontId="4" fillId="0" borderId="8" xfId="0" applyFont="1" applyBorder="1" applyAlignment="1" applyProtection="1">
      <alignment horizontal="left"/>
    </xf>
    <xf numFmtId="37" fontId="4" fillId="0" borderId="1" xfId="0" applyFont="1" applyBorder="1"/>
    <xf numFmtId="0" fontId="4" fillId="0" borderId="0" xfId="0" applyNumberFormat="1" applyFont="1"/>
    <xf numFmtId="0" fontId="4" fillId="0" borderId="0" xfId="0" applyNumberFormat="1" applyFont="1" applyFill="1"/>
    <xf numFmtId="37" fontId="4" fillId="0" borderId="0" xfId="0" applyFont="1" applyAlignment="1" applyProtection="1">
      <alignment horizontal="left" wrapText="1"/>
    </xf>
    <xf numFmtId="37" fontId="4" fillId="0" borderId="5" xfId="0" applyFont="1" applyFill="1" applyBorder="1" applyAlignment="1" applyProtection="1">
      <alignment horizontal="left"/>
    </xf>
    <xf numFmtId="37" fontId="4" fillId="0" borderId="23" xfId="0" applyFont="1" applyFill="1" applyBorder="1"/>
    <xf numFmtId="37" fontId="4" fillId="0" borderId="21" xfId="0" applyFont="1" applyFill="1" applyBorder="1"/>
    <xf numFmtId="186" fontId="4" fillId="0" borderId="22" xfId="0" applyNumberFormat="1" applyFont="1" applyFill="1" applyBorder="1" applyAlignment="1" applyProtection="1">
      <alignment horizontal="center"/>
      <protection locked="0"/>
    </xf>
    <xf numFmtId="182" fontId="5" fillId="0" borderId="0" xfId="2" applyNumberFormat="1" applyFont="1" applyFill="1" applyProtection="1"/>
    <xf numFmtId="37" fontId="16" fillId="0" borderId="0" xfId="0" applyFont="1" applyBorder="1"/>
    <xf numFmtId="185" fontId="10" fillId="0" borderId="0" xfId="1" applyNumberFormat="1" applyFont="1" applyFill="1" applyProtection="1">
      <protection locked="0"/>
    </xf>
    <xf numFmtId="185" fontId="14" fillId="0" borderId="0" xfId="1" applyNumberFormat="1" applyFont="1" applyFill="1"/>
    <xf numFmtId="9" fontId="0" fillId="0" borderId="0" xfId="13" quotePrefix="1" applyFont="1" applyAlignment="1">
      <alignment horizontal="center"/>
    </xf>
    <xf numFmtId="37" fontId="16" fillId="0" borderId="5" xfId="0" applyFont="1" applyBorder="1" applyAlignment="1" applyProtection="1">
      <alignment horizontal="left"/>
    </xf>
    <xf numFmtId="37" fontId="16" fillId="0" borderId="0" xfId="0" applyFont="1" applyBorder="1" applyAlignment="1" applyProtection="1">
      <alignment horizontal="left"/>
    </xf>
    <xf numFmtId="37" fontId="0" fillId="0" borderId="0" xfId="0" applyFont="1" applyAlignment="1" applyProtection="1">
      <alignment horizontal="left" indent="1"/>
    </xf>
    <xf numFmtId="185" fontId="0" fillId="0" borderId="0" xfId="1" applyNumberFormat="1" applyFont="1" applyProtection="1"/>
    <xf numFmtId="10" fontId="4" fillId="0" borderId="0" xfId="13" applyNumberFormat="1" applyFont="1" applyAlignment="1" applyProtection="1">
      <alignment horizontal="center"/>
    </xf>
    <xf numFmtId="185" fontId="0" fillId="0" borderId="5" xfId="1" applyNumberFormat="1" applyFont="1" applyBorder="1" applyProtection="1"/>
    <xf numFmtId="37" fontId="14" fillId="0" borderId="0" xfId="0" applyFont="1" applyBorder="1" applyAlignment="1" applyProtection="1">
      <alignment horizontal="left" indent="2"/>
    </xf>
    <xf numFmtId="0" fontId="0" fillId="0" borderId="0" xfId="0" applyNumberFormat="1" applyFont="1" applyAlignment="1" applyProtection="1">
      <alignment horizontal="center"/>
    </xf>
    <xf numFmtId="37" fontId="0" fillId="0" borderId="0" xfId="0" applyFont="1" applyAlignment="1" applyProtection="1">
      <alignment horizontal="left" indent="2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7" fillId="0" borderId="0" xfId="0" applyFont="1" applyBorder="1" applyProtection="1"/>
    <xf numFmtId="37" fontId="14" fillId="0" borderId="0" xfId="0" applyFont="1" applyAlignment="1">
      <alignment horizontal="left" indent="1"/>
    </xf>
    <xf numFmtId="185" fontId="0" fillId="0" borderId="0" xfId="1" applyNumberFormat="1" applyFont="1" applyBorder="1" applyAlignment="1">
      <alignment horizontal="center"/>
    </xf>
    <xf numFmtId="9" fontId="0" fillId="0" borderId="0" xfId="13" applyFont="1" applyBorder="1" applyAlignment="1" applyProtection="1">
      <alignment horizontal="center"/>
    </xf>
    <xf numFmtId="10" fontId="0" fillId="0" borderId="0" xfId="13" applyNumberFormat="1" applyFont="1" applyBorder="1" applyAlignment="1">
      <alignment horizontal="center"/>
    </xf>
    <xf numFmtId="10" fontId="4" fillId="0" borderId="0" xfId="13" applyNumberFormat="1" applyFont="1" applyBorder="1" applyAlignment="1" applyProtection="1">
      <alignment horizontal="center"/>
    </xf>
    <xf numFmtId="37" fontId="14" fillId="0" borderId="0" xfId="0" applyFont="1" applyAlignment="1" applyProtection="1">
      <alignment horizontal="left" indent="3"/>
    </xf>
    <xf numFmtId="185" fontId="0" fillId="0" borderId="5" xfId="1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185" fontId="4" fillId="0" borderId="5" xfId="1" applyNumberFormat="1" applyFont="1" applyBorder="1" applyAlignment="1" applyProtection="1">
      <alignment horizontal="center"/>
    </xf>
    <xf numFmtId="185" fontId="0" fillId="0" borderId="5" xfId="1" applyNumberFormat="1" applyFont="1" applyBorder="1" applyAlignment="1">
      <alignment horizontal="center"/>
    </xf>
    <xf numFmtId="37" fontId="0" fillId="0" borderId="0" xfId="0" applyFont="1" applyBorder="1" applyAlignment="1" applyProtection="1">
      <alignment horizontal="left"/>
    </xf>
    <xf numFmtId="37" fontId="25" fillId="0" borderId="0" xfId="0" applyFont="1" applyBorder="1" applyProtection="1"/>
    <xf numFmtId="37" fontId="0" fillId="0" borderId="0" xfId="0" applyFont="1" applyBorder="1" applyAlignment="1">
      <alignment horizontal="left" indent="1"/>
    </xf>
    <xf numFmtId="37" fontId="0" fillId="0" borderId="0" xfId="0" applyFont="1" applyFill="1" applyBorder="1" applyAlignment="1">
      <alignment horizontal="left" indent="2"/>
    </xf>
    <xf numFmtId="185" fontId="10" fillId="0" borderId="0" xfId="1" applyNumberFormat="1" applyFont="1"/>
    <xf numFmtId="185" fontId="4" fillId="0" borderId="5" xfId="1" applyNumberFormat="1" applyFont="1" applyBorder="1" applyProtection="1"/>
    <xf numFmtId="5" fontId="14" fillId="0" borderId="0" xfId="0" applyNumberFormat="1" applyFont="1" applyFill="1" applyProtection="1"/>
    <xf numFmtId="10" fontId="28" fillId="0" borderId="0" xfId="13" applyNumberFormat="1" applyFont="1" applyFill="1"/>
    <xf numFmtId="10" fontId="14" fillId="0" borderId="0" xfId="13" applyNumberFormat="1" applyFont="1"/>
    <xf numFmtId="37" fontId="4" fillId="0" borderId="5" xfId="0" applyNumberFormat="1" applyFont="1" applyBorder="1" applyAlignment="1" applyProtection="1">
      <alignment horizontal="left"/>
    </xf>
    <xf numFmtId="166" fontId="4" fillId="0" borderId="0" xfId="0" applyNumberFormat="1" applyFont="1" applyProtection="1"/>
    <xf numFmtId="185" fontId="4" fillId="0" borderId="0" xfId="1" applyNumberFormat="1" applyFont="1" applyBorder="1" applyAlignment="1">
      <alignment horizontal="center"/>
    </xf>
    <xf numFmtId="9" fontId="4" fillId="0" borderId="0" xfId="13" applyFont="1" applyBorder="1" applyAlignment="1">
      <alignment horizontal="center"/>
    </xf>
    <xf numFmtId="10" fontId="4" fillId="0" borderId="0" xfId="13" applyNumberFormat="1" applyFont="1" applyBorder="1" applyAlignment="1">
      <alignment horizontal="center"/>
    </xf>
    <xf numFmtId="10" fontId="4" fillId="0" borderId="0" xfId="13" applyNumberFormat="1" applyFont="1" applyAlignment="1">
      <alignment horizontal="center"/>
    </xf>
    <xf numFmtId="37" fontId="16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10" fontId="0" fillId="0" borderId="0" xfId="0" applyNumberFormat="1" applyFont="1" applyBorder="1"/>
    <xf numFmtId="10" fontId="0" fillId="0" borderId="0" xfId="0" applyNumberFormat="1" applyFont="1"/>
    <xf numFmtId="185" fontId="4" fillId="0" borderId="5" xfId="1" applyNumberFormat="1" applyFont="1" applyBorder="1" applyAlignment="1">
      <alignment horizontal="center"/>
    </xf>
    <xf numFmtId="37" fontId="11" fillId="0" borderId="0" xfId="0" applyFont="1" applyAlignment="1" applyProtection="1">
      <alignment horizontal="left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4" fillId="0" borderId="5" xfId="1" applyNumberFormat="1" applyFont="1" applyFill="1" applyBorder="1" applyProtection="1"/>
    <xf numFmtId="37" fontId="16" fillId="0" borderId="0" xfId="0" applyFont="1" applyAlignment="1" applyProtection="1">
      <alignment horizontal="left" indent="1"/>
    </xf>
    <xf numFmtId="37" fontId="16" fillId="0" borderId="0" xfId="0" applyFont="1" applyFill="1" applyAlignment="1">
      <alignment horizontal="left" indent="1"/>
    </xf>
    <xf numFmtId="9" fontId="4" fillId="0" borderId="0" xfId="13" applyFont="1" applyFill="1" applyBorder="1" applyAlignment="1">
      <alignment horizontal="center"/>
    </xf>
    <xf numFmtId="10" fontId="4" fillId="0" borderId="0" xfId="13" applyNumberFormat="1" applyFont="1" applyFill="1" applyBorder="1" applyAlignment="1">
      <alignment horizontal="center"/>
    </xf>
    <xf numFmtId="37" fontId="0" fillId="0" borderId="0" xfId="0" applyFont="1" applyBorder="1" applyAlignment="1">
      <alignment horizontal="center"/>
    </xf>
    <xf numFmtId="10" fontId="0" fillId="0" borderId="0" xfId="13" applyNumberFormat="1" applyFont="1" applyFill="1"/>
    <xf numFmtId="173" fontId="14" fillId="0" borderId="0" xfId="13" applyNumberFormat="1" applyFont="1" applyFill="1"/>
    <xf numFmtId="188" fontId="14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0" fontId="7" fillId="0" borderId="0" xfId="0" applyNumberFormat="1" applyFont="1" applyBorder="1" applyProtection="1"/>
    <xf numFmtId="10" fontId="0" fillId="0" borderId="0" xfId="0" applyNumberFormat="1"/>
    <xf numFmtId="185" fontId="4" fillId="0" borderId="0" xfId="1" applyNumberFormat="1" applyFont="1" applyFill="1"/>
    <xf numFmtId="185" fontId="4" fillId="0" borderId="2" xfId="1" applyNumberFormat="1" applyFont="1" applyFill="1" applyBorder="1" applyProtection="1"/>
    <xf numFmtId="182" fontId="4" fillId="0" borderId="0" xfId="2" applyNumberFormat="1" applyFont="1" applyBorder="1" applyProtection="1"/>
    <xf numFmtId="37" fontId="4" fillId="0" borderId="2" xfId="0" applyFont="1" applyFill="1" applyBorder="1" applyAlignment="1" applyProtection="1">
      <alignment horizontal="left"/>
    </xf>
    <xf numFmtId="37" fontId="5" fillId="0" borderId="0" xfId="0" applyFont="1" applyBorder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4" fillId="0" borderId="3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9" fillId="0" borderId="0" xfId="0" applyFont="1" applyFill="1" applyAlignment="1">
      <alignment horizontal="center"/>
    </xf>
    <xf numFmtId="37" fontId="8" fillId="0" borderId="3" xfId="0" applyFont="1" applyFill="1" applyBorder="1" applyProtection="1">
      <protection locked="0"/>
    </xf>
    <xf numFmtId="37" fontId="7" fillId="0" borderId="0" xfId="0" applyFont="1" applyFill="1"/>
    <xf numFmtId="37" fontId="4" fillId="0" borderId="0" xfId="5" applyFont="1"/>
    <xf numFmtId="37" fontId="5" fillId="0" borderId="0" xfId="5" applyFont="1"/>
    <xf numFmtId="37" fontId="4" fillId="0" borderId="0" xfId="5" applyFont="1" applyAlignment="1" applyProtection="1">
      <alignment horizontal="left"/>
    </xf>
    <xf numFmtId="37" fontId="4" fillId="0" borderId="0" xfId="5" applyAlignment="1" applyProtection="1">
      <alignment horizontal="left"/>
    </xf>
    <xf numFmtId="37" fontId="4" fillId="0" borderId="0" xfId="5" applyFont="1" applyBorder="1"/>
    <xf numFmtId="37" fontId="4" fillId="0" borderId="3" xfId="5" applyFont="1" applyBorder="1" applyAlignment="1" applyProtection="1">
      <alignment horizontal="center"/>
    </xf>
    <xf numFmtId="37" fontId="4" fillId="0" borderId="3" xfId="5" applyFont="1" applyBorder="1"/>
    <xf numFmtId="37" fontId="4" fillId="0" borderId="2" xfId="5" applyFont="1" applyBorder="1" applyAlignment="1" applyProtection="1">
      <alignment horizontal="center"/>
    </xf>
    <xf numFmtId="37" fontId="4" fillId="0" borderId="0" xfId="5" applyFont="1" applyProtection="1"/>
    <xf numFmtId="37" fontId="4" fillId="0" borderId="0" xfId="5" applyFont="1" applyAlignment="1" applyProtection="1">
      <alignment horizontal="center"/>
    </xf>
    <xf numFmtId="37" fontId="7" fillId="0" borderId="0" xfId="5" applyFont="1" applyAlignment="1" applyProtection="1">
      <alignment horizontal="center"/>
    </xf>
    <xf numFmtId="37" fontId="4" fillId="0" borderId="3" xfId="5" applyFont="1" applyBorder="1" applyProtection="1"/>
    <xf numFmtId="37" fontId="4" fillId="0" borderId="0" xfId="5"/>
    <xf numFmtId="37" fontId="4" fillId="0" borderId="0" xfId="5" applyAlignment="1" applyProtection="1">
      <alignment horizontal="center"/>
    </xf>
    <xf numFmtId="179" fontId="4" fillId="0" borderId="0" xfId="5" applyNumberFormat="1" applyFont="1"/>
    <xf numFmtId="37" fontId="5" fillId="0" borderId="0" xfId="5" applyFont="1" applyAlignment="1" applyProtection="1">
      <alignment horizontal="right"/>
    </xf>
    <xf numFmtId="37" fontId="4" fillId="0" borderId="0" xfId="5" applyFont="1" applyBorder="1" applyAlignment="1" applyProtection="1">
      <alignment horizontal="center"/>
    </xf>
    <xf numFmtId="37" fontId="16" fillId="0" borderId="0" xfId="5" applyFont="1" applyBorder="1" applyAlignment="1" applyProtection="1">
      <alignment horizontal="left"/>
    </xf>
    <xf numFmtId="37" fontId="16" fillId="0" borderId="5" xfId="5" applyFont="1" applyBorder="1" applyAlignment="1" applyProtection="1">
      <alignment horizontal="left"/>
    </xf>
    <xf numFmtId="10" fontId="4" fillId="0" borderId="0" xfId="5" applyNumberFormat="1" applyFont="1"/>
    <xf numFmtId="185" fontId="14" fillId="0" borderId="0" xfId="1" applyNumberFormat="1" applyFont="1" applyFill="1" applyProtection="1">
      <protection locked="0"/>
    </xf>
    <xf numFmtId="185" fontId="14" fillId="0" borderId="0" xfId="1" applyNumberFormat="1" applyFont="1" applyFill="1" applyBorder="1" applyProtection="1"/>
    <xf numFmtId="44" fontId="0" fillId="0" borderId="0" xfId="2" applyFont="1" applyFill="1"/>
    <xf numFmtId="37" fontId="4" fillId="0" borderId="0" xfId="0" quotePrefix="1" applyFont="1" applyAlignment="1">
      <alignment horizontal="center"/>
    </xf>
    <xf numFmtId="37" fontId="16" fillId="0" borderId="5" xfId="0" applyFont="1" applyFill="1" applyBorder="1" applyAlignment="1">
      <alignment horizontal="center"/>
    </xf>
    <xf numFmtId="37" fontId="10" fillId="0" borderId="0" xfId="0" applyFont="1" applyFill="1" applyAlignment="1">
      <alignment horizontal="center"/>
    </xf>
    <xf numFmtId="37" fontId="41" fillId="0" borderId="0" xfId="0" applyFont="1" applyAlignment="1">
      <alignment horizontal="right"/>
    </xf>
    <xf numFmtId="37" fontId="4" fillId="0" borderId="0" xfId="5" applyFont="1" applyBorder="1" applyProtection="1"/>
    <xf numFmtId="37" fontId="10" fillId="0" borderId="0" xfId="0" applyNumberFormat="1" applyFont="1" applyFill="1"/>
    <xf numFmtId="37" fontId="16" fillId="0" borderId="8" xfId="0" applyFont="1" applyBorder="1" applyAlignment="1" applyProtection="1">
      <alignment horizontal="center"/>
    </xf>
    <xf numFmtId="9" fontId="4" fillId="0" borderId="0" xfId="13" applyFont="1" applyFill="1" applyAlignment="1">
      <alignment horizontal="center"/>
    </xf>
    <xf numFmtId="9" fontId="4" fillId="0" borderId="0" xfId="13" applyFont="1" applyAlignment="1">
      <alignment horizontal="center"/>
    </xf>
    <xf numFmtId="10" fontId="4" fillId="0" borderId="0" xfId="13" applyNumberFormat="1" applyFont="1" applyFill="1" applyAlignment="1">
      <alignment horizontal="center"/>
    </xf>
    <xf numFmtId="182" fontId="4" fillId="0" borderId="6" xfId="2" applyNumberFormat="1" applyFont="1" applyFill="1" applyBorder="1"/>
    <xf numFmtId="37" fontId="16" fillId="0" borderId="21" xfId="0" applyFont="1" applyBorder="1" applyAlignment="1" applyProtection="1">
      <alignment horizontal="center"/>
    </xf>
    <xf numFmtId="182" fontId="4" fillId="0" borderId="0" xfId="2" applyNumberFormat="1" applyFont="1" applyProtection="1"/>
    <xf numFmtId="37" fontId="14" fillId="0" borderId="0" xfId="0" applyFont="1" applyBorder="1" applyAlignment="1" applyProtection="1">
      <alignment horizontal="left"/>
    </xf>
    <xf numFmtId="37" fontId="14" fillId="0" borderId="8" xfId="0" applyFont="1" applyBorder="1"/>
    <xf numFmtId="37" fontId="14" fillId="0" borderId="1" xfId="0" applyFont="1" applyBorder="1"/>
    <xf numFmtId="37" fontId="14" fillId="0" borderId="8" xfId="0" applyFont="1" applyBorder="1" applyAlignment="1" applyProtection="1">
      <alignment horizontal="center"/>
    </xf>
    <xf numFmtId="37" fontId="14" fillId="0" borderId="21" xfId="0" applyFont="1" applyBorder="1" applyAlignment="1" applyProtection="1">
      <alignment horizontal="center"/>
    </xf>
    <xf numFmtId="37" fontId="14" fillId="0" borderId="25" xfId="0" applyFont="1" applyBorder="1" applyAlignment="1" applyProtection="1">
      <alignment horizontal="left"/>
    </xf>
    <xf numFmtId="182" fontId="10" fillId="0" borderId="0" xfId="2" applyNumberFormat="1" applyFont="1" applyProtection="1"/>
    <xf numFmtId="182" fontId="10" fillId="0" borderId="6" xfId="2" applyNumberFormat="1" applyFont="1" applyBorder="1" applyProtection="1"/>
    <xf numFmtId="9" fontId="4" fillId="0" borderId="0" xfId="0" applyNumberFormat="1" applyFont="1" applyAlignment="1" applyProtection="1">
      <alignment horizontal="center"/>
    </xf>
    <xf numFmtId="9" fontId="4" fillId="0" borderId="0" xfId="13" applyFont="1" applyAlignment="1" applyProtection="1">
      <alignment horizontal="center"/>
    </xf>
    <xf numFmtId="9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4" fillId="0" borderId="23" xfId="0" applyFont="1" applyBorder="1" applyAlignment="1">
      <alignment horizontal="center"/>
    </xf>
    <xf numFmtId="37" fontId="4" fillId="0" borderId="9" xfId="0" applyFont="1" applyBorder="1" applyAlignment="1" applyProtection="1">
      <alignment horizontal="center"/>
    </xf>
    <xf numFmtId="37" fontId="4" fillId="0" borderId="21" xfId="0" applyFont="1" applyBorder="1" applyAlignment="1">
      <alignment horizontal="center"/>
    </xf>
    <xf numFmtId="37" fontId="4" fillId="0" borderId="23" xfId="0" applyFont="1" applyBorder="1" applyAlignment="1" applyProtection="1">
      <alignment horizontal="center"/>
    </xf>
    <xf numFmtId="37" fontId="4" fillId="0" borderId="1" xfId="0" applyFont="1" applyFill="1" applyBorder="1" applyAlignment="1" applyProtection="1">
      <alignment horizontal="center"/>
    </xf>
    <xf numFmtId="37" fontId="4" fillId="0" borderId="25" xfId="0" applyFont="1" applyBorder="1" applyAlignment="1">
      <alignment horizontal="center"/>
    </xf>
    <xf numFmtId="178" fontId="4" fillId="0" borderId="0" xfId="1" applyNumberFormat="1" applyFont="1" applyFill="1" applyProtection="1"/>
    <xf numFmtId="37" fontId="4" fillId="0" borderId="0" xfId="0" applyFont="1" applyAlignment="1" applyProtection="1">
      <alignment horizontal="right"/>
    </xf>
    <xf numFmtId="37" fontId="4" fillId="0" borderId="2" xfId="0" applyFont="1" applyBorder="1" applyAlignment="1" applyProtection="1">
      <alignment horizontal="right"/>
    </xf>
    <xf numFmtId="37" fontId="4" fillId="0" borderId="0" xfId="0" applyFont="1" applyAlignment="1" applyProtection="1">
      <alignment horizontal="right"/>
      <protection locked="0"/>
    </xf>
    <xf numFmtId="37" fontId="4" fillId="0" borderId="2" xfId="0" applyFont="1" applyBorder="1" applyAlignment="1" applyProtection="1">
      <alignment horizontal="right"/>
      <protection locked="0"/>
    </xf>
    <xf numFmtId="182" fontId="14" fillId="0" borderId="5" xfId="2" applyNumberFormat="1" applyFont="1" applyFill="1" applyBorder="1" applyProtection="1"/>
    <xf numFmtId="182" fontId="14" fillId="0" borderId="0" xfId="2" applyNumberFormat="1" applyFont="1" applyFill="1" applyBorder="1" applyProtection="1"/>
    <xf numFmtId="182" fontId="14" fillId="0" borderId="0" xfId="2" applyNumberFormat="1" applyFont="1" applyFill="1" applyProtection="1">
      <protection locked="0"/>
    </xf>
    <xf numFmtId="182" fontId="17" fillId="0" borderId="0" xfId="2" applyNumberFormat="1" applyFont="1" applyFill="1" applyProtection="1"/>
    <xf numFmtId="37" fontId="14" fillId="0" borderId="0" xfId="0" applyFont="1" applyAlignment="1">
      <alignment horizontal="right"/>
    </xf>
    <xf numFmtId="37" fontId="14" fillId="0" borderId="0" xfId="0" applyFont="1" applyBorder="1" applyAlignment="1" applyProtection="1">
      <alignment horizontal="right"/>
      <protection locked="0"/>
    </xf>
    <xf numFmtId="37" fontId="14" fillId="0" borderId="5" xfId="0" applyFont="1" applyBorder="1" applyAlignment="1">
      <alignment horizontal="right"/>
    </xf>
    <xf numFmtId="37" fontId="10" fillId="0" borderId="5" xfId="0" applyFont="1" applyBorder="1" applyAlignment="1">
      <alignment horizontal="right"/>
    </xf>
    <xf numFmtId="182" fontId="4" fillId="0" borderId="0" xfId="2" applyNumberFormat="1" applyFont="1" applyFill="1" applyBorder="1" applyProtection="1"/>
    <xf numFmtId="182" fontId="4" fillId="0" borderId="5" xfId="2" applyNumberFormat="1" applyFont="1" applyFill="1" applyBorder="1" applyProtection="1"/>
    <xf numFmtId="182" fontId="4" fillId="0" borderId="0" xfId="2" applyNumberFormat="1" applyFont="1" applyFill="1" applyProtection="1">
      <protection locked="0"/>
    </xf>
    <xf numFmtId="37" fontId="10" fillId="0" borderId="0" xfId="0" applyFont="1" applyBorder="1" applyAlignment="1"/>
    <xf numFmtId="37" fontId="10" fillId="0" borderId="0" xfId="0" applyFont="1" applyBorder="1" applyAlignment="1" applyProtection="1"/>
    <xf numFmtId="37" fontId="10" fillId="0" borderId="0" xfId="0" applyFont="1" applyFill="1" applyAlignment="1">
      <alignment horizontal="right"/>
    </xf>
    <xf numFmtId="37" fontId="10" fillId="0" borderId="0" xfId="0" applyFont="1" applyFill="1" applyAlignment="1" applyProtection="1">
      <alignment horizontal="right"/>
      <protection locked="0"/>
    </xf>
    <xf numFmtId="37" fontId="10" fillId="0" borderId="2" xfId="0" applyFont="1" applyFill="1" applyBorder="1" applyAlignment="1" applyProtection="1">
      <alignment horizontal="right"/>
      <protection locked="0"/>
    </xf>
    <xf numFmtId="37" fontId="10" fillId="0" borderId="23" xfId="0" applyFont="1" applyBorder="1" applyAlignment="1">
      <alignment horizontal="center"/>
    </xf>
    <xf numFmtId="37" fontId="10" fillId="0" borderId="7" xfId="0" applyFont="1" applyBorder="1" applyAlignment="1">
      <alignment horizontal="center"/>
    </xf>
    <xf numFmtId="37" fontId="10" fillId="0" borderId="7" xfId="0" applyFont="1" applyBorder="1" applyAlignment="1" applyProtection="1">
      <alignment horizontal="center"/>
      <protection locked="0"/>
    </xf>
    <xf numFmtId="37" fontId="10" fillId="0" borderId="21" xfId="0" applyFont="1" applyBorder="1" applyAlignment="1">
      <alignment horizontal="center"/>
    </xf>
    <xf numFmtId="37" fontId="10" fillId="0" borderId="5" xfId="0" applyFont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 locked="0"/>
    </xf>
    <xf numFmtId="37" fontId="4" fillId="0" borderId="7" xfId="0" applyFont="1" applyBorder="1" applyAlignment="1" applyProtection="1">
      <alignment horizontal="center"/>
      <protection locked="0"/>
    </xf>
    <xf numFmtId="37" fontId="4" fillId="0" borderId="5" xfId="0" applyFont="1" applyBorder="1" applyAlignment="1" applyProtection="1">
      <alignment horizontal="center"/>
      <protection locked="0"/>
    </xf>
    <xf numFmtId="37" fontId="4" fillId="0" borderId="26" xfId="0" applyFont="1" applyBorder="1" applyAlignment="1">
      <alignment horizontal="center"/>
    </xf>
    <xf numFmtId="37" fontId="10" fillId="0" borderId="0" xfId="0" applyFont="1" applyAlignment="1">
      <alignment horizontal="right"/>
    </xf>
    <xf numFmtId="37" fontId="10" fillId="0" borderId="0" xfId="0" applyFont="1" applyAlignment="1" applyProtection="1">
      <alignment horizontal="right"/>
      <protection locked="0"/>
    </xf>
    <xf numFmtId="37" fontId="10" fillId="0" borderId="2" xfId="0" applyFont="1" applyBorder="1" applyAlignment="1" applyProtection="1">
      <alignment horizontal="right"/>
      <protection locked="0"/>
    </xf>
    <xf numFmtId="182" fontId="0" fillId="0" borderId="6" xfId="2" applyNumberFormat="1" applyFont="1" applyFill="1" applyBorder="1"/>
    <xf numFmtId="170" fontId="4" fillId="0" borderId="0" xfId="13" applyNumberFormat="1" applyFont="1"/>
    <xf numFmtId="174" fontId="4" fillId="0" borderId="0" xfId="13" applyNumberFormat="1" applyFont="1"/>
    <xf numFmtId="185" fontId="10" fillId="0" borderId="0" xfId="1" applyNumberFormat="1" applyFont="1" applyFill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0" xfId="0" applyNumberFormat="1" applyAlignment="1">
      <alignment horizontal="center"/>
    </xf>
    <xf numFmtId="37" fontId="16" fillId="0" borderId="0" xfId="0" applyFont="1" applyFill="1" applyAlignment="1" applyProtection="1">
      <alignment horizontal="left"/>
    </xf>
    <xf numFmtId="9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9" fontId="4" fillId="0" borderId="0" xfId="13" applyFont="1" applyBorder="1" applyAlignment="1" applyProtection="1">
      <alignment horizontal="center"/>
    </xf>
    <xf numFmtId="37" fontId="4" fillId="0" borderId="27" xfId="0" applyFont="1" applyBorder="1" applyAlignment="1">
      <alignment horizontal="center"/>
    </xf>
    <xf numFmtId="37" fontId="4" fillId="0" borderId="27" xfId="0" applyFont="1" applyBorder="1" applyAlignment="1" applyProtection="1">
      <alignment horizontal="center"/>
    </xf>
    <xf numFmtId="37" fontId="4" fillId="0" borderId="5" xfId="0" applyFont="1" applyFill="1" applyBorder="1" applyAlignment="1">
      <alignment horizontal="center"/>
    </xf>
    <xf numFmtId="182" fontId="10" fillId="0" borderId="10" xfId="2" applyNumberFormat="1" applyFont="1" applyBorder="1" applyProtection="1"/>
    <xf numFmtId="182" fontId="10" fillId="0" borderId="10" xfId="2" applyNumberFormat="1" applyFont="1" applyFill="1" applyBorder="1" applyProtection="1"/>
    <xf numFmtId="185" fontId="10" fillId="0" borderId="0" xfId="1" applyNumberFormat="1" applyFont="1" applyProtection="1"/>
    <xf numFmtId="185" fontId="10" fillId="0" borderId="2" xfId="1" applyNumberFormat="1" applyFont="1" applyFill="1" applyBorder="1" applyProtection="1"/>
    <xf numFmtId="185" fontId="10" fillId="0" borderId="5" xfId="1" applyNumberFormat="1" applyFont="1" applyBorder="1" applyProtection="1"/>
    <xf numFmtId="182" fontId="10" fillId="0" borderId="0" xfId="2" applyNumberFormat="1" applyFont="1" applyFill="1" applyProtection="1">
      <protection locked="0"/>
    </xf>
    <xf numFmtId="185" fontId="10" fillId="0" borderId="0" xfId="1" quotePrefix="1" applyNumberFormat="1" applyFont="1" applyFill="1" applyProtection="1"/>
    <xf numFmtId="185" fontId="10" fillId="0" borderId="0" xfId="1" quotePrefix="1" applyNumberFormat="1" applyFont="1" applyFill="1" applyProtection="1">
      <protection locked="0"/>
    </xf>
    <xf numFmtId="183" fontId="14" fillId="0" borderId="0" xfId="0" applyNumberFormat="1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183" fontId="14" fillId="0" borderId="0" xfId="0" applyNumberFormat="1" applyFont="1" applyBorder="1" applyAlignment="1" applyProtection="1">
      <alignment horizontal="center"/>
      <protection locked="0"/>
    </xf>
    <xf numFmtId="183" fontId="14" fillId="0" borderId="0" xfId="0" applyNumberFormat="1" applyFont="1" applyAlignment="1" applyProtection="1">
      <alignment horizontal="center"/>
    </xf>
    <xf numFmtId="183" fontId="14" fillId="0" borderId="0" xfId="0" applyNumberFormat="1" applyFont="1" applyAlignment="1">
      <alignment horizontal="center"/>
    </xf>
    <xf numFmtId="37" fontId="14" fillId="0" borderId="0" xfId="0" quotePrefix="1" applyFont="1" applyAlignment="1">
      <alignment horizontal="center"/>
    </xf>
    <xf numFmtId="184" fontId="14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  <protection locked="0"/>
    </xf>
    <xf numFmtId="183" fontId="10" fillId="0" borderId="0" xfId="0" applyNumberFormat="1" applyFont="1" applyBorder="1" applyAlignment="1" applyProtection="1">
      <alignment horizontal="center"/>
      <protection locked="0"/>
    </xf>
    <xf numFmtId="183" fontId="10" fillId="0" borderId="0" xfId="0" applyNumberFormat="1" applyFont="1" applyAlignment="1" applyProtection="1">
      <alignment horizontal="center"/>
    </xf>
    <xf numFmtId="183" fontId="10" fillId="0" borderId="0" xfId="0" applyNumberFormat="1" applyFont="1" applyAlignment="1">
      <alignment horizontal="center"/>
    </xf>
    <xf numFmtId="37" fontId="10" fillId="0" borderId="0" xfId="0" quotePrefix="1" applyFont="1" applyAlignment="1">
      <alignment horizontal="center"/>
    </xf>
    <xf numFmtId="183" fontId="10" fillId="0" borderId="0" xfId="0" quotePrefix="1" applyNumberFormat="1" applyFont="1" applyAlignment="1" applyProtection="1">
      <alignment horizontal="center"/>
      <protection locked="0"/>
    </xf>
    <xf numFmtId="184" fontId="10" fillId="0" borderId="0" xfId="0" applyNumberFormat="1" applyFont="1" applyAlignment="1" applyProtection="1">
      <alignment horizontal="center"/>
      <protection locked="0"/>
    </xf>
    <xf numFmtId="182" fontId="4" fillId="0" borderId="6" xfId="2" applyNumberFormat="1" applyFont="1" applyFill="1" applyBorder="1" applyProtection="1"/>
    <xf numFmtId="182" fontId="10" fillId="0" borderId="0" xfId="2" applyNumberFormat="1" applyFont="1"/>
    <xf numFmtId="182" fontId="10" fillId="0" borderId="19" xfId="2" applyNumberFormat="1" applyFont="1" applyBorder="1"/>
    <xf numFmtId="182" fontId="10" fillId="0" borderId="19" xfId="2" applyNumberFormat="1" applyFont="1" applyFill="1" applyBorder="1"/>
    <xf numFmtId="182" fontId="4" fillId="0" borderId="19" xfId="2" applyNumberFormat="1" applyFont="1" applyFill="1" applyBorder="1"/>
    <xf numFmtId="182" fontId="4" fillId="0" borderId="19" xfId="2" applyNumberFormat="1" applyFont="1" applyBorder="1"/>
    <xf numFmtId="37" fontId="4" fillId="0" borderId="0" xfId="0" applyFont="1" applyBorder="1" applyAlignment="1">
      <alignment horizontal="right"/>
    </xf>
    <xf numFmtId="37" fontId="4" fillId="0" borderId="0" xfId="0" applyFont="1" applyBorder="1" applyAlignment="1" applyProtection="1">
      <alignment horizontal="right"/>
    </xf>
    <xf numFmtId="37" fontId="14" fillId="0" borderId="5" xfId="0" applyFont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</xf>
    <xf numFmtId="182" fontId="4" fillId="0" borderId="0" xfId="2" applyNumberFormat="1" applyFont="1" applyAlignment="1" applyProtection="1">
      <alignment horizontal="right"/>
    </xf>
    <xf numFmtId="182" fontId="4" fillId="0" borderId="6" xfId="2" applyNumberFormat="1" applyFont="1" applyBorder="1" applyAlignment="1" applyProtection="1">
      <alignment horizontal="right"/>
    </xf>
    <xf numFmtId="182" fontId="4" fillId="0" borderId="0" xfId="2" applyNumberFormat="1" applyFont="1" applyFill="1" applyAlignment="1">
      <alignment horizontal="right"/>
    </xf>
    <xf numFmtId="182" fontId="4" fillId="0" borderId="0" xfId="2" applyNumberFormat="1" applyFont="1" applyAlignment="1">
      <alignment horizontal="right"/>
    </xf>
    <xf numFmtId="37" fontId="14" fillId="0" borderId="0" xfId="5" applyFont="1" applyAlignment="1" applyProtection="1">
      <alignment horizontal="left"/>
    </xf>
    <xf numFmtId="37" fontId="4" fillId="0" borderId="0" xfId="5" applyFont="1" applyAlignment="1">
      <alignment horizontal="right"/>
    </xf>
    <xf numFmtId="37" fontId="4" fillId="0" borderId="0" xfId="5" applyFont="1" applyAlignment="1" applyProtection="1">
      <alignment horizontal="right"/>
    </xf>
    <xf numFmtId="37" fontId="4" fillId="0" borderId="0" xfId="5" applyAlignment="1" applyProtection="1">
      <alignment horizontal="right"/>
    </xf>
    <xf numFmtId="182" fontId="4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5" fillId="0" borderId="2" xfId="0" applyFont="1" applyBorder="1" applyAlignment="1" applyProtection="1">
      <alignment horizontal="center"/>
    </xf>
    <xf numFmtId="182" fontId="0" fillId="0" borderId="0" xfId="2" applyNumberFormat="1" applyFont="1" applyProtection="1"/>
    <xf numFmtId="182" fontId="4" fillId="0" borderId="28" xfId="2" applyNumberFormat="1" applyFont="1" applyBorder="1" applyProtection="1"/>
    <xf numFmtId="37" fontId="0" fillId="0" borderId="29" xfId="0" applyFont="1" applyBorder="1"/>
    <xf numFmtId="37" fontId="5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0" fillId="0" borderId="0" xfId="0" applyAlignment="1" applyProtection="1">
      <alignment horizontal="center"/>
    </xf>
    <xf numFmtId="182" fontId="0" fillId="0" borderId="0" xfId="2" applyNumberFormat="1" applyFont="1" applyBorder="1" applyAlignment="1" applyProtection="1">
      <alignment horizontal="center"/>
    </xf>
    <xf numFmtId="182" fontId="4" fillId="0" borderId="0" xfId="2" applyNumberFormat="1" applyFont="1" applyBorder="1" applyAlignment="1" applyProtection="1">
      <alignment horizontal="center"/>
    </xf>
    <xf numFmtId="37" fontId="21" fillId="0" borderId="0" xfId="0" applyFont="1" applyAlignment="1">
      <alignment horizontal="right"/>
    </xf>
    <xf numFmtId="37" fontId="14" fillId="0" borderId="5" xfId="0" applyFont="1" applyBorder="1" applyAlignment="1" applyProtection="1">
      <alignment horizontal="left"/>
    </xf>
    <xf numFmtId="182" fontId="26" fillId="0" borderId="0" xfId="2" applyNumberFormat="1" applyFont="1" applyFill="1" applyProtection="1"/>
    <xf numFmtId="182" fontId="14" fillId="0" borderId="19" xfId="2" applyNumberFormat="1" applyFont="1" applyFill="1" applyBorder="1" applyProtection="1"/>
    <xf numFmtId="182" fontId="14" fillId="0" borderId="6" xfId="2" applyNumberFormat="1" applyFont="1" applyFill="1" applyBorder="1"/>
    <xf numFmtId="182" fontId="0" fillId="0" borderId="0" xfId="2" applyNumberFormat="1" applyFont="1" applyFill="1" applyProtection="1"/>
    <xf numFmtId="182" fontId="4" fillId="0" borderId="2" xfId="2" applyNumberFormat="1" applyFont="1" applyBorder="1" applyProtection="1"/>
    <xf numFmtId="182" fontId="14" fillId="0" borderId="2" xfId="2" applyNumberFormat="1" applyFont="1" applyBorder="1" applyProtection="1"/>
    <xf numFmtId="182" fontId="4" fillId="0" borderId="19" xfId="2" applyNumberFormat="1" applyFont="1" applyFill="1" applyBorder="1" applyProtection="1"/>
    <xf numFmtId="10" fontId="0" fillId="0" borderId="0" xfId="0" applyNumberFormat="1" applyFont="1" applyFill="1" applyProtection="1"/>
    <xf numFmtId="169" fontId="14" fillId="0" borderId="0" xfId="13" applyNumberFormat="1" applyFont="1"/>
    <xf numFmtId="10" fontId="10" fillId="0" borderId="0" xfId="13" applyNumberFormat="1" applyFont="1" applyBorder="1"/>
    <xf numFmtId="10" fontId="10" fillId="0" borderId="0" xfId="13" applyNumberFormat="1" applyFont="1" applyFill="1"/>
    <xf numFmtId="5" fontId="4" fillId="0" borderId="0" xfId="0" applyNumberFormat="1" applyFont="1" applyFill="1" applyProtection="1"/>
    <xf numFmtId="173" fontId="4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4" fillId="0" borderId="0" xfId="0" applyNumberFormat="1" applyFont="1" applyFill="1" applyProtection="1"/>
    <xf numFmtId="185" fontId="4" fillId="0" borderId="5" xfId="0" applyNumberFormat="1" applyFont="1" applyFill="1" applyBorder="1" applyProtection="1"/>
    <xf numFmtId="5" fontId="4" fillId="0" borderId="7" xfId="0" applyNumberFormat="1" applyFont="1" applyFill="1" applyBorder="1" applyProtection="1"/>
    <xf numFmtId="37" fontId="4" fillId="0" borderId="27" xfId="0" applyFont="1" applyBorder="1"/>
    <xf numFmtId="37" fontId="4" fillId="0" borderId="30" xfId="0" applyFont="1" applyBorder="1" applyAlignment="1" applyProtection="1">
      <alignment horizontal="center"/>
    </xf>
    <xf numFmtId="37" fontId="4" fillId="0" borderId="31" xfId="0" applyFont="1" applyBorder="1" applyAlignment="1" applyProtection="1">
      <alignment horizontal="center"/>
    </xf>
    <xf numFmtId="37" fontId="4" fillId="0" borderId="31" xfId="0" applyFont="1" applyBorder="1" applyAlignment="1">
      <alignment horizontal="center"/>
    </xf>
    <xf numFmtId="37" fontId="47" fillId="0" borderId="0" xfId="0" applyFont="1"/>
    <xf numFmtId="37" fontId="48" fillId="0" borderId="0" xfId="0" applyFont="1"/>
    <xf numFmtId="14" fontId="16" fillId="0" borderId="8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14" fontId="4" fillId="0" borderId="5" xfId="0" applyNumberFormat="1" applyFont="1" applyBorder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Alignment="1">
      <alignment horizontal="right"/>
    </xf>
    <xf numFmtId="37" fontId="49" fillId="0" borderId="0" xfId="0" applyFont="1"/>
    <xf numFmtId="37" fontId="10" fillId="0" borderId="0" xfId="0" applyFont="1" applyBorder="1" applyAlignment="1">
      <alignment horizontal="right"/>
    </xf>
    <xf numFmtId="37" fontId="10" fillId="0" borderId="0" xfId="0" applyFont="1" applyBorder="1" applyAlignment="1" applyProtection="1">
      <alignment horizontal="center"/>
      <protection locked="0"/>
    </xf>
    <xf numFmtId="37" fontId="40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6" fillId="0" borderId="0" xfId="0" applyFont="1" applyFill="1" applyAlignment="1">
      <alignment horizontal="center"/>
    </xf>
    <xf numFmtId="37" fontId="0" fillId="0" borderId="7" xfId="0" applyBorder="1"/>
    <xf numFmtId="182" fontId="0" fillId="0" borderId="7" xfId="2" applyNumberFormat="1" applyFont="1" applyBorder="1"/>
    <xf numFmtId="185" fontId="4" fillId="0" borderId="7" xfId="1" applyNumberFormat="1" applyFont="1" applyBorder="1"/>
    <xf numFmtId="185" fontId="0" fillId="0" borderId="7" xfId="1" applyNumberFormat="1" applyFont="1" applyBorder="1"/>
    <xf numFmtId="37" fontId="0" fillId="0" borderId="5" xfId="0" applyFont="1" applyBorder="1" applyAlignment="1">
      <alignment horizontal="center"/>
    </xf>
    <xf numFmtId="37" fontId="16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7" fillId="0" borderId="0" xfId="0" applyFont="1" applyAlignment="1">
      <alignment horizontal="left"/>
    </xf>
    <xf numFmtId="37" fontId="50" fillId="0" borderId="0" xfId="0" applyFont="1"/>
    <xf numFmtId="37" fontId="4" fillId="0" borderId="0" xfId="0" applyNumberFormat="1" applyFont="1" applyFill="1" applyBorder="1" applyAlignment="1" applyProtection="1">
      <alignment horizontal="right"/>
    </xf>
    <xf numFmtId="185" fontId="4" fillId="0" borderId="0" xfId="1" applyNumberFormat="1" applyFont="1" applyFill="1" applyBorder="1" applyAlignment="1" applyProtection="1">
      <alignment horizontal="right"/>
    </xf>
    <xf numFmtId="185" fontId="4" fillId="0" borderId="0" xfId="1" applyNumberFormat="1" applyFont="1" applyFill="1" applyAlignment="1">
      <alignment horizontal="right"/>
    </xf>
    <xf numFmtId="185" fontId="4" fillId="0" borderId="0" xfId="1" applyNumberFormat="1" applyFont="1" applyAlignment="1">
      <alignment horizontal="right"/>
    </xf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4" fillId="0" borderId="0" xfId="0" applyFont="1" applyAlignment="1" applyProtection="1">
      <alignment horizontal="center"/>
    </xf>
    <xf numFmtId="37" fontId="10" fillId="0" borderId="0" xfId="0" applyFont="1" applyFill="1" applyAlignment="1" applyProtection="1">
      <alignment horizontal="left" wrapText="1"/>
    </xf>
    <xf numFmtId="37" fontId="4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9" fontId="4" fillId="0" borderId="0" xfId="13" applyNumberFormat="1" applyFont="1" applyFill="1" applyAlignment="1">
      <alignment horizontal="center"/>
    </xf>
    <xf numFmtId="37" fontId="0" fillId="0" borderId="7" xfId="0" applyFill="1" applyBorder="1"/>
    <xf numFmtId="37" fontId="6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4" fillId="0" borderId="0" xfId="1" applyNumberFormat="1" applyFont="1" applyFill="1"/>
    <xf numFmtId="43" fontId="4" fillId="0" borderId="0" xfId="1" applyFont="1" applyFill="1"/>
    <xf numFmtId="9" fontId="4" fillId="0" borderId="0" xfId="1" applyNumberFormat="1" applyFont="1" applyFill="1" applyAlignment="1">
      <alignment horizontal="center"/>
    </xf>
    <xf numFmtId="183" fontId="48" fillId="0" borderId="0" xfId="0" applyNumberFormat="1" applyFont="1" applyAlignment="1" applyProtection="1">
      <alignment horizontal="left"/>
      <protection locked="0"/>
    </xf>
    <xf numFmtId="0" fontId="48" fillId="0" borderId="0" xfId="0" applyNumberFormat="1" applyFont="1" applyAlignment="1">
      <alignment horizontal="center"/>
    </xf>
    <xf numFmtId="185" fontId="47" fillId="0" borderId="0" xfId="1" applyNumberFormat="1" applyFont="1" applyFill="1" applyProtection="1"/>
    <xf numFmtId="185" fontId="47" fillId="0" borderId="0" xfId="1" applyNumberFormat="1" applyFont="1" applyFill="1"/>
    <xf numFmtId="0" fontId="0" fillId="0" borderId="0" xfId="0" applyNumberFormat="1" applyFont="1" applyAlignment="1" applyProtection="1">
      <alignment horizontal="left"/>
      <protection locked="0"/>
    </xf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37" fontId="7" fillId="0" borderId="0" xfId="0" applyNumberFormat="1" applyFont="1" applyFill="1" applyProtection="1">
      <protection locked="0"/>
    </xf>
    <xf numFmtId="37" fontId="51" fillId="0" borderId="0" xfId="0" applyFont="1"/>
    <xf numFmtId="185" fontId="10" fillId="0" borderId="0" xfId="1" applyNumberFormat="1" applyFont="1" applyFill="1" applyAlignment="1">
      <alignment horizontal="right"/>
    </xf>
    <xf numFmtId="37" fontId="4" fillId="0" borderId="0" xfId="0" applyFont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49" fontId="0" fillId="0" borderId="0" xfId="0" applyNumberFormat="1" applyFill="1" applyAlignment="1">
      <alignment horizontal="center"/>
    </xf>
    <xf numFmtId="180" fontId="4" fillId="0" borderId="2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>
      <alignment horizontal="center"/>
    </xf>
    <xf numFmtId="180" fontId="4" fillId="0" borderId="2" xfId="0" applyNumberFormat="1" applyFont="1" applyFill="1" applyBorder="1"/>
    <xf numFmtId="49" fontId="4" fillId="0" borderId="2" xfId="0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41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 applyAlignment="1" applyProtection="1">
      <alignment horizontal="left"/>
    </xf>
    <xf numFmtId="37" fontId="52" fillId="0" borderId="0" xfId="0" applyFont="1"/>
    <xf numFmtId="189" fontId="0" fillId="0" borderId="0" xfId="0" applyNumberFormat="1" applyFill="1"/>
    <xf numFmtId="189" fontId="0" fillId="0" borderId="0" xfId="0" applyNumberFormat="1" applyFill="1" applyBorder="1" applyAlignment="1">
      <alignment horizontal="center"/>
    </xf>
    <xf numFmtId="37" fontId="47" fillId="0" borderId="0" xfId="0" applyNumberFormat="1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4" fontId="0" fillId="0" borderId="5" xfId="0" applyNumberFormat="1" applyFill="1" applyBorder="1" applyAlignment="1">
      <alignment horizontal="center"/>
    </xf>
    <xf numFmtId="189" fontId="0" fillId="0" borderId="5" xfId="0" applyNumberForma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47" fillId="0" borderId="0" xfId="0" applyNumberFormat="1" applyFont="1" applyBorder="1" applyProtection="1"/>
    <xf numFmtId="37" fontId="53" fillId="0" borderId="0" xfId="0" applyFont="1"/>
    <xf numFmtId="37" fontId="0" fillId="0" borderId="0" xfId="0" quotePrefix="1"/>
    <xf numFmtId="10" fontId="47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5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31" fillId="0" borderId="0" xfId="13" applyNumberFormat="1" applyFont="1" applyFill="1"/>
    <xf numFmtId="5" fontId="41" fillId="0" borderId="10" xfId="0" applyNumberFormat="1" applyFont="1" applyFill="1" applyBorder="1"/>
    <xf numFmtId="5" fontId="41" fillId="0" borderId="0" xfId="0" applyNumberFormat="1" applyFont="1" applyFill="1" applyBorder="1"/>
    <xf numFmtId="37" fontId="4" fillId="0" borderId="0" xfId="0" applyFont="1" applyFill="1" applyAlignment="1">
      <alignment horizontal="left" indent="2"/>
    </xf>
    <xf numFmtId="37" fontId="4" fillId="0" borderId="0" xfId="0" applyFont="1" applyFill="1" applyAlignment="1"/>
    <xf numFmtId="10" fontId="4" fillId="0" borderId="0" xfId="13" applyNumberFormat="1" applyFont="1" applyFill="1" applyAlignment="1"/>
    <xf numFmtId="37" fontId="15" fillId="0" borderId="0" xfId="0" applyFont="1" applyFill="1"/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7" fillId="0" borderId="0" xfId="0" applyNumberFormat="1" applyFont="1" applyProtection="1"/>
    <xf numFmtId="10" fontId="47" fillId="0" borderId="0" xfId="13" applyNumberFormat="1" applyFont="1" applyFill="1" applyAlignment="1">
      <alignment horizontal="center"/>
    </xf>
    <xf numFmtId="37" fontId="5" fillId="0" borderId="5" xfId="0" applyFont="1" applyBorder="1"/>
    <xf numFmtId="37" fontId="4" fillId="0" borderId="0" xfId="1" applyNumberFormat="1" applyFont="1" applyFill="1" applyBorder="1" applyAlignment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44" fontId="0" fillId="0" borderId="0" xfId="2" applyNumberFormat="1" applyFont="1" applyFill="1"/>
    <xf numFmtId="37" fontId="15" fillId="0" borderId="0" xfId="0" applyFont="1" applyAlignment="1" applyProtection="1">
      <alignment horizontal="left"/>
    </xf>
    <xf numFmtId="37" fontId="56" fillId="0" borderId="0" xfId="0" applyFont="1"/>
    <xf numFmtId="37" fontId="56" fillId="0" borderId="0" xfId="0" applyNumberFormat="1" applyFont="1" applyProtection="1"/>
    <xf numFmtId="37" fontId="56" fillId="0" borderId="0" xfId="0" applyNumberFormat="1" applyFont="1" applyFill="1" applyProtection="1"/>
    <xf numFmtId="185" fontId="56" fillId="0" borderId="0" xfId="1" applyNumberFormat="1" applyFont="1" applyFill="1" applyProtection="1"/>
    <xf numFmtId="37" fontId="0" fillId="0" borderId="0" xfId="0" applyAlignment="1">
      <alignment horizontal="center"/>
    </xf>
    <xf numFmtId="190" fontId="0" fillId="0" borderId="0" xfId="0" applyNumberFormat="1" applyFill="1"/>
    <xf numFmtId="37" fontId="4" fillId="0" borderId="5" xfId="0" applyFont="1" applyBorder="1" applyAlignment="1" applyProtection="1">
      <alignment horizontal="right"/>
    </xf>
    <xf numFmtId="37" fontId="47" fillId="0" borderId="0" xfId="0" applyFont="1" applyFill="1"/>
    <xf numFmtId="37" fontId="58" fillId="0" borderId="0" xfId="0" applyFont="1" applyAlignment="1">
      <alignment horizontal="right"/>
    </xf>
    <xf numFmtId="37" fontId="58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4" fillId="0" borderId="7" xfId="2" applyNumberFormat="1" applyFont="1" applyFill="1" applyBorder="1" applyProtection="1"/>
    <xf numFmtId="37" fontId="0" fillId="0" borderId="0" xfId="0" applyAlignment="1">
      <alignment horizontal="center"/>
    </xf>
    <xf numFmtId="37" fontId="48" fillId="0" borderId="0" xfId="0" applyFont="1" applyAlignment="1">
      <alignment horizontal="left"/>
    </xf>
    <xf numFmtId="182" fontId="14" fillId="0" borderId="6" xfId="2" applyNumberFormat="1" applyFont="1" applyFill="1" applyBorder="1" applyProtection="1"/>
    <xf numFmtId="37" fontId="4" fillId="0" borderId="0" xfId="0" applyFont="1" applyFill="1" applyAlignment="1" applyProtection="1">
      <alignment horizontal="center"/>
    </xf>
    <xf numFmtId="37" fontId="0" fillId="0" borderId="20" xfId="0" applyFill="1" applyBorder="1" applyAlignment="1">
      <alignment horizontal="center"/>
    </xf>
    <xf numFmtId="37" fontId="0" fillId="0" borderId="0" xfId="0" applyFill="1" applyAlignment="1">
      <alignment horizontal="center"/>
    </xf>
    <xf numFmtId="37" fontId="10" fillId="0" borderId="0" xfId="0" applyFont="1" applyAlignment="1" applyProtection="1">
      <alignment horizontal="right"/>
    </xf>
    <xf numFmtId="37" fontId="10" fillId="0" borderId="2" xfId="0" applyFont="1" applyBorder="1" applyAlignment="1" applyProtection="1">
      <alignment horizontal="right"/>
    </xf>
    <xf numFmtId="37" fontId="14" fillId="0" borderId="0" xfId="0" applyFont="1" applyAlignment="1" applyProtection="1">
      <alignment horizontal="centerContinuous"/>
    </xf>
    <xf numFmtId="169" fontId="47" fillId="0" borderId="0" xfId="0" applyNumberFormat="1" applyFont="1" applyProtection="1"/>
    <xf numFmtId="37" fontId="47" fillId="0" borderId="0" xfId="0" applyNumberFormat="1" applyFont="1" applyProtection="1">
      <protection locked="0"/>
    </xf>
    <xf numFmtId="10" fontId="47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59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5" fontId="14" fillId="0" borderId="7" xfId="0" applyNumberFormat="1" applyFont="1" applyFill="1" applyBorder="1" applyProtection="1"/>
    <xf numFmtId="37" fontId="50" fillId="0" borderId="0" xfId="0" applyFont="1" applyFill="1"/>
    <xf numFmtId="37" fontId="47" fillId="0" borderId="0" xfId="0" applyFont="1" applyAlignment="1"/>
    <xf numFmtId="39" fontId="47" fillId="0" borderId="0" xfId="0" applyNumberFormat="1" applyFont="1"/>
    <xf numFmtId="175" fontId="4" fillId="0" borderId="0" xfId="0" applyNumberFormat="1" applyFont="1" applyAlignment="1"/>
    <xf numFmtId="37" fontId="9" fillId="0" borderId="0" xfId="0" applyFont="1" applyAlignment="1" applyProtection="1">
      <alignment horizontal="right"/>
      <protection locked="0"/>
    </xf>
    <xf numFmtId="37" fontId="9" fillId="0" borderId="5" xfId="0" applyFont="1" applyBorder="1" applyAlignment="1">
      <alignment horizontal="right"/>
    </xf>
    <xf numFmtId="37" fontId="14" fillId="0" borderId="0" xfId="0" applyFont="1" applyFill="1" applyAlignment="1" applyProtection="1">
      <alignment horizontal="left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right"/>
    </xf>
    <xf numFmtId="37" fontId="14" fillId="0" borderId="0" xfId="0" applyFont="1" applyAlignment="1" applyProtection="1">
      <alignment horizontal="right"/>
    </xf>
    <xf numFmtId="37" fontId="14" fillId="0" borderId="0" xfId="0" applyFont="1" applyBorder="1" applyAlignment="1" applyProtection="1">
      <alignment horizontal="right"/>
    </xf>
    <xf numFmtId="37" fontId="14" fillId="0" borderId="5" xfId="0" applyFont="1" applyBorder="1"/>
    <xf numFmtId="37" fontId="5" fillId="0" borderId="0" xfId="0" applyFont="1" applyFill="1" applyAlignment="1"/>
    <xf numFmtId="37" fontId="4" fillId="0" borderId="0" xfId="0" applyFont="1" applyFill="1" applyAlignment="1" applyProtection="1"/>
    <xf numFmtId="180" fontId="0" fillId="0" borderId="0" xfId="0" applyNumberFormat="1"/>
    <xf numFmtId="180" fontId="10" fillId="0" borderId="0" xfId="0" applyNumberFormat="1" applyFont="1"/>
    <xf numFmtId="182" fontId="0" fillId="0" borderId="7" xfId="2" applyNumberFormat="1" applyFont="1" applyFill="1" applyBorder="1" applyProtection="1"/>
    <xf numFmtId="37" fontId="4" fillId="0" borderId="0" xfId="0" quotePrefix="1" applyFont="1" applyFill="1"/>
    <xf numFmtId="182" fontId="0" fillId="0" borderId="6" xfId="2" applyNumberFormat="1" applyFont="1" applyFill="1" applyBorder="1" applyProtection="1"/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9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center"/>
    </xf>
    <xf numFmtId="183" fontId="14" fillId="0" borderId="0" xfId="0" applyNumberFormat="1" applyFont="1" applyFill="1" applyAlignment="1" applyProtection="1">
      <alignment horizontal="center"/>
      <protection locked="0"/>
    </xf>
    <xf numFmtId="37" fontId="14" fillId="0" borderId="0" xfId="0" applyFont="1" applyFill="1" applyAlignment="1" applyProtection="1">
      <alignment horizontal="left" indent="2"/>
      <protection locked="0"/>
    </xf>
    <xf numFmtId="37" fontId="56" fillId="0" borderId="0" xfId="0" applyFont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6" fillId="0" borderId="8" xfId="0" applyFont="1" applyBorder="1" applyAlignment="1">
      <alignment horizontal="center"/>
    </xf>
    <xf numFmtId="182" fontId="4" fillId="0" borderId="0" xfId="2" applyNumberFormat="1" applyFont="1" applyFill="1" applyAlignment="1">
      <alignment horizontal="center"/>
    </xf>
    <xf numFmtId="185" fontId="4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7" fillId="0" borderId="0" xfId="0" applyFont="1" applyFill="1" applyBorder="1" applyAlignment="1">
      <alignment horizontal="center"/>
    </xf>
    <xf numFmtId="37" fontId="4" fillId="0" borderId="0" xfId="0" applyFont="1" applyAlignment="1">
      <alignment horizontal="center"/>
    </xf>
    <xf numFmtId="37" fontId="47" fillId="0" borderId="0" xfId="0" applyFont="1" applyBorder="1"/>
    <xf numFmtId="37" fontId="4" fillId="0" borderId="2" xfId="0" applyFont="1" applyBorder="1" applyAlignment="1" applyProtection="1">
      <protection locked="0"/>
    </xf>
    <xf numFmtId="37" fontId="4" fillId="0" borderId="2" xfId="0" applyFont="1" applyFill="1" applyBorder="1" applyAlignment="1">
      <alignment horizontal="right"/>
    </xf>
    <xf numFmtId="37" fontId="4" fillId="0" borderId="0" xfId="0" applyFont="1" applyAlignment="1" applyProtection="1">
      <alignment horizontal="center"/>
    </xf>
    <xf numFmtId="182" fontId="0" fillId="0" borderId="7" xfId="2" applyNumberFormat="1" applyFont="1" applyFill="1" applyBorder="1"/>
    <xf numFmtId="182" fontId="4" fillId="0" borderId="7" xfId="2" applyNumberFormat="1" applyFont="1" applyFill="1" applyBorder="1"/>
    <xf numFmtId="37" fontId="60" fillId="0" borderId="0" xfId="0" applyFont="1"/>
    <xf numFmtId="37" fontId="56" fillId="0" borderId="0" xfId="0" applyFont="1" applyAlignment="1" applyProtection="1">
      <alignment horizontal="center"/>
    </xf>
    <xf numFmtId="37" fontId="56" fillId="0" borderId="0" xfId="0" applyFont="1" applyFill="1"/>
    <xf numFmtId="182" fontId="56" fillId="0" borderId="0" xfId="2" applyNumberFormat="1" applyFont="1" applyBorder="1" applyProtection="1"/>
    <xf numFmtId="182" fontId="14" fillId="0" borderId="7" xfId="2" applyNumberFormat="1" applyFont="1" applyFill="1" applyBorder="1" applyProtection="1"/>
    <xf numFmtId="183" fontId="23" fillId="0" borderId="0" xfId="0" applyNumberFormat="1" applyFont="1" applyFill="1" applyAlignment="1">
      <alignment horizontal="left"/>
    </xf>
    <xf numFmtId="37" fontId="49" fillId="0" borderId="0" xfId="0" applyFont="1" applyFill="1"/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7" fillId="0" borderId="0" xfId="0" quotePrefix="1" applyFont="1" applyFill="1"/>
    <xf numFmtId="37" fontId="56" fillId="0" borderId="0" xfId="0" applyFont="1" applyAlignment="1" applyProtection="1">
      <alignment horizontal="left"/>
    </xf>
    <xf numFmtId="37" fontId="61" fillId="0" borderId="0" xfId="0" applyFont="1"/>
    <xf numFmtId="37" fontId="61" fillId="0" borderId="0" xfId="0" quotePrefix="1" applyFont="1" applyAlignment="1">
      <alignment horizontal="center"/>
    </xf>
    <xf numFmtId="37" fontId="61" fillId="0" borderId="0" xfId="0" applyFont="1" applyAlignment="1" applyProtection="1">
      <alignment horizontal="center"/>
    </xf>
    <xf numFmtId="165" fontId="61" fillId="0" borderId="0" xfId="0" applyNumberFormat="1" applyFont="1" applyProtection="1"/>
    <xf numFmtId="10" fontId="61" fillId="0" borderId="0" xfId="0" applyNumberFormat="1" applyFont="1" applyFill="1" applyProtection="1"/>
    <xf numFmtId="37" fontId="62" fillId="0" borderId="0" xfId="0" applyNumberFormat="1" applyFont="1" applyBorder="1" applyProtection="1"/>
    <xf numFmtId="170" fontId="57" fillId="0" borderId="0" xfId="0" applyNumberFormat="1" applyFont="1" applyFill="1" applyProtection="1"/>
    <xf numFmtId="170" fontId="10" fillId="0" borderId="0" xfId="0" applyNumberFormat="1" applyFont="1" applyProtection="1"/>
    <xf numFmtId="37" fontId="6" fillId="0" borderId="0" xfId="0" applyFont="1" applyAlignment="1">
      <alignment horizontal="center"/>
    </xf>
    <xf numFmtId="37" fontId="56" fillId="0" borderId="0" xfId="0" applyFont="1" applyAlignment="1">
      <alignment horizontal="center"/>
    </xf>
    <xf numFmtId="37" fontId="61" fillId="0" borderId="0" xfId="0" applyFont="1" applyAlignment="1">
      <alignment horizontal="center"/>
    </xf>
    <xf numFmtId="37" fontId="61" fillId="0" borderId="0" xfId="0" applyFont="1" applyAlignment="1">
      <alignment horizontal="left"/>
    </xf>
    <xf numFmtId="185" fontId="61" fillId="0" borderId="0" xfId="1" applyNumberFormat="1" applyFont="1" applyFill="1" applyProtection="1"/>
    <xf numFmtId="37" fontId="61" fillId="0" borderId="0" xfId="0" applyFont="1" applyFill="1"/>
    <xf numFmtId="37" fontId="61" fillId="0" borderId="0" xfId="0" applyNumberFormat="1" applyFont="1" applyFill="1" applyProtection="1"/>
    <xf numFmtId="185" fontId="61" fillId="0" borderId="0" xfId="1" applyNumberFormat="1" applyFont="1" applyFill="1"/>
    <xf numFmtId="185" fontId="61" fillId="0" borderId="0" xfId="1" applyNumberFormat="1" applyFont="1"/>
    <xf numFmtId="185" fontId="61" fillId="0" borderId="0" xfId="1" applyNumberFormat="1" applyFont="1" applyProtection="1"/>
    <xf numFmtId="37" fontId="61" fillId="0" borderId="0" xfId="0" applyNumberFormat="1" applyFont="1" applyProtection="1"/>
    <xf numFmtId="10" fontId="61" fillId="0" borderId="0" xfId="0" applyNumberFormat="1" applyFont="1" applyBorder="1" applyProtection="1"/>
    <xf numFmtId="37" fontId="4" fillId="0" borderId="0" xfId="0" applyFont="1" applyAlignment="1">
      <alignment horizontal="center"/>
    </xf>
    <xf numFmtId="37" fontId="5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" fontId="47" fillId="0" borderId="0" xfId="0" applyNumberFormat="1" applyFont="1"/>
    <xf numFmtId="37" fontId="63" fillId="0" borderId="0" xfId="0" applyFont="1" applyFill="1"/>
    <xf numFmtId="9" fontId="47" fillId="0" borderId="0" xfId="13" applyFont="1"/>
    <xf numFmtId="39" fontId="4" fillId="0" borderId="0" xfId="0" applyNumberFormat="1" applyFont="1"/>
    <xf numFmtId="173" fontId="61" fillId="0" borderId="0" xfId="13" applyNumberFormat="1" applyFont="1" applyProtection="1"/>
    <xf numFmtId="37" fontId="47" fillId="0" borderId="0" xfId="0" applyFont="1" applyFill="1" applyBorder="1"/>
    <xf numFmtId="37" fontId="4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0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13" applyNumberFormat="1" applyFont="1" applyAlignment="1">
      <alignment horizontal="right"/>
    </xf>
    <xf numFmtId="3" fontId="0" fillId="0" borderId="10" xfId="0" applyNumberFormat="1" applyBorder="1"/>
    <xf numFmtId="3" fontId="0" fillId="0" borderId="7" xfId="0" applyNumberFormat="1" applyBorder="1"/>
    <xf numFmtId="37" fontId="56" fillId="0" borderId="0" xfId="0" applyFont="1" applyAlignment="1">
      <alignment horizontal="right"/>
    </xf>
    <xf numFmtId="37" fontId="56" fillId="0" borderId="0" xfId="0" quotePrefix="1" applyNumberFormat="1" applyFont="1" applyProtection="1"/>
    <xf numFmtId="37" fontId="4" fillId="5" borderId="0" xfId="0" applyFont="1" applyFill="1"/>
    <xf numFmtId="37" fontId="4" fillId="5" borderId="0" xfId="0" applyFont="1" applyFill="1" applyBorder="1"/>
    <xf numFmtId="37" fontId="4" fillId="5" borderId="0" xfId="0" applyNumberFormat="1" applyFont="1" applyFill="1" applyProtection="1"/>
    <xf numFmtId="37" fontId="4" fillId="5" borderId="0" xfId="0" applyNumberFormat="1" applyFont="1" applyFill="1" applyBorder="1" applyProtection="1"/>
    <xf numFmtId="10" fontId="4" fillId="5" borderId="0" xfId="0" applyNumberFormat="1" applyFont="1" applyFill="1" applyBorder="1" applyProtection="1"/>
    <xf numFmtId="10" fontId="4" fillId="5" borderId="0" xfId="13" applyNumberFormat="1" applyFont="1" applyFill="1" applyBorder="1"/>
    <xf numFmtId="166" fontId="4" fillId="5" borderId="0" xfId="0" applyNumberFormat="1" applyFont="1" applyFill="1" applyBorder="1" applyProtection="1"/>
    <xf numFmtId="182" fontId="5" fillId="5" borderId="0" xfId="2" applyNumberFormat="1" applyFont="1" applyFill="1" applyProtection="1"/>
    <xf numFmtId="37" fontId="10" fillId="5" borderId="0" xfId="0" applyFont="1" applyFill="1" applyBorder="1"/>
    <xf numFmtId="37" fontId="4" fillId="4" borderId="0" xfId="5" applyFont="1" applyFill="1" applyAlignment="1" applyProtection="1">
      <alignment horizontal="left"/>
    </xf>
    <xf numFmtId="182" fontId="4" fillId="4" borderId="0" xfId="2" applyNumberFormat="1" applyFont="1" applyFill="1" applyProtection="1"/>
    <xf numFmtId="37" fontId="4" fillId="4" borderId="0" xfId="5" applyFont="1" applyFill="1" applyProtection="1"/>
    <xf numFmtId="37" fontId="4" fillId="4" borderId="0" xfId="5" applyFill="1" applyAlignment="1" applyProtection="1">
      <alignment horizontal="left"/>
    </xf>
    <xf numFmtId="37" fontId="4" fillId="4" borderId="0" xfId="5" applyFill="1" applyProtection="1"/>
    <xf numFmtId="37" fontId="4" fillId="4" borderId="0" xfId="5" applyFont="1" applyFill="1"/>
    <xf numFmtId="37" fontId="4" fillId="4" borderId="0" xfId="5" applyFill="1"/>
    <xf numFmtId="37" fontId="0" fillId="4" borderId="0" xfId="0" applyFont="1" applyFill="1" applyAlignment="1" applyProtection="1">
      <alignment horizontal="left"/>
    </xf>
    <xf numFmtId="182" fontId="0" fillId="4" borderId="0" xfId="2" applyNumberFormat="1" applyFont="1" applyFill="1" applyProtection="1"/>
    <xf numFmtId="37" fontId="0" fillId="4" borderId="0" xfId="0" applyFont="1" applyFill="1" applyProtection="1"/>
    <xf numFmtId="0" fontId="0" fillId="0" borderId="0" xfId="0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0" fontId="0" fillId="0" borderId="0" xfId="0" quotePrefix="1" applyNumberFormat="1" applyFont="1" applyAlignment="1" applyProtection="1">
      <alignment horizontal="left"/>
      <protection locked="0"/>
    </xf>
    <xf numFmtId="170" fontId="10" fillId="0" borderId="0" xfId="13" applyNumberFormat="1" applyFont="1"/>
    <xf numFmtId="170" fontId="47" fillId="0" borderId="0" xfId="13" applyNumberFormat="1" applyFont="1"/>
    <xf numFmtId="37" fontId="4" fillId="0" borderId="0" xfId="0" applyFont="1" applyAlignment="1" applyProtection="1">
      <alignment horizontal="center"/>
    </xf>
    <xf numFmtId="185" fontId="41" fillId="0" borderId="10" xfId="0" applyNumberFormat="1" applyFont="1" applyBorder="1"/>
    <xf numFmtId="39" fontId="4" fillId="0" borderId="0" xfId="0" applyNumberFormat="1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0" fontId="27" fillId="0" borderId="0" xfId="0" applyNumberFormat="1" applyFont="1" applyFill="1" applyBorder="1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0" fillId="0" borderId="0" xfId="0"/>
    <xf numFmtId="0" fontId="4" fillId="0" borderId="0" xfId="0" applyNumberFormat="1" applyFont="1" applyAlignment="1">
      <alignment horizontal="center"/>
    </xf>
    <xf numFmtId="37" fontId="50" fillId="0" borderId="0" xfId="0" applyFont="1"/>
    <xf numFmtId="0" fontId="4" fillId="0" borderId="0" xfId="0" applyNumberFormat="1" applyFont="1" applyAlignment="1">
      <alignment horizontal="center"/>
    </xf>
    <xf numFmtId="37" fontId="4" fillId="0" borderId="0" xfId="0" applyFont="1" applyAlignment="1">
      <alignment horizontal="center"/>
    </xf>
    <xf numFmtId="37" fontId="66" fillId="0" borderId="0" xfId="0" applyFont="1"/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50" fillId="0" borderId="0" xfId="0" applyFont="1" applyFill="1" applyBorder="1" applyAlignment="1">
      <alignment horizontal="centerContinuous"/>
    </xf>
    <xf numFmtId="37" fontId="4" fillId="0" borderId="0" xfId="0" applyFont="1" applyAlignment="1" applyProtection="1">
      <alignment horizontal="center"/>
    </xf>
    <xf numFmtId="37" fontId="65" fillId="0" borderId="0" xfId="0" applyFont="1"/>
    <xf numFmtId="37" fontId="4" fillId="0" borderId="0" xfId="0" applyFont="1" applyAlignment="1" applyProtection="1">
      <alignment horizontal="center"/>
    </xf>
    <xf numFmtId="10" fontId="4" fillId="2" borderId="0" xfId="13" applyNumberFormat="1" applyFont="1" applyFill="1" applyBorder="1"/>
    <xf numFmtId="37" fontId="50" fillId="0" borderId="0" xfId="0" applyFont="1" applyBorder="1"/>
    <xf numFmtId="37" fontId="4" fillId="0" borderId="0" xfId="0" applyFont="1" applyAlignment="1" applyProtection="1">
      <alignment horizontal="center"/>
    </xf>
    <xf numFmtId="37" fontId="0" fillId="4" borderId="0" xfId="5" applyFont="1" applyFill="1" applyProtection="1"/>
    <xf numFmtId="37" fontId="50" fillId="0" borderId="0" xfId="0" applyNumberFormat="1" applyFont="1" applyProtection="1"/>
    <xf numFmtId="37" fontId="4" fillId="0" borderId="0" xfId="0" applyFont="1" applyAlignment="1" applyProtection="1">
      <alignment horizontal="center"/>
    </xf>
    <xf numFmtId="37" fontId="0" fillId="0" borderId="0" xfId="0" quotePrefix="1" applyFont="1"/>
    <xf numFmtId="169" fontId="14" fillId="0" borderId="0" xfId="0" applyNumberFormat="1" applyFont="1" applyFill="1" applyProtection="1"/>
    <xf numFmtId="190" fontId="4" fillId="0" borderId="0" xfId="0" applyNumberFormat="1" applyFont="1"/>
    <xf numFmtId="37" fontId="0" fillId="0" borderId="0" xfId="0" applyFont="1" applyFill="1" applyBorder="1"/>
    <xf numFmtId="37" fontId="4" fillId="0" borderId="0" xfId="0" applyFont="1" applyAlignment="1" applyProtection="1">
      <alignment horizontal="center"/>
    </xf>
    <xf numFmtId="3" fontId="0" fillId="0" borderId="0" xfId="0" quotePrefix="1" applyNumberFormat="1"/>
    <xf numFmtId="37" fontId="0" fillId="0" borderId="32" xfId="0" applyBorder="1"/>
    <xf numFmtId="37" fontId="4" fillId="0" borderId="32" xfId="0" applyFont="1" applyBorder="1" applyAlignment="1">
      <alignment horizontal="center"/>
    </xf>
    <xf numFmtId="37" fontId="4" fillId="0" borderId="32" xfId="0" applyFont="1" applyBorder="1"/>
    <xf numFmtId="37" fontId="0" fillId="0" borderId="0" xfId="0" applyFill="1" applyBorder="1"/>
    <xf numFmtId="44" fontId="0" fillId="0" borderId="6" xfId="2" applyNumberFormat="1" applyFont="1" applyBorder="1"/>
    <xf numFmtId="37" fontId="14" fillId="0" borderId="0" xfId="0" applyFont="1" applyFill="1" applyAlignment="1" applyProtection="1">
      <alignment horizontal="left" indent="1"/>
    </xf>
    <xf numFmtId="37" fontId="65" fillId="0" borderId="0" xfId="0" applyNumberFormat="1" applyFont="1" applyFill="1" applyBorder="1" applyProtection="1">
      <protection locked="0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6" fillId="0" borderId="0" xfId="0" applyFont="1" applyAlignment="1">
      <alignment horizontal="center"/>
    </xf>
    <xf numFmtId="37" fontId="4" fillId="0" borderId="32" xfId="0" applyFont="1" applyBorder="1" applyAlignment="1" applyProtection="1">
      <alignment horizontal="center"/>
    </xf>
    <xf numFmtId="37" fontId="4" fillId="0" borderId="32" xfId="0" applyFont="1" applyFill="1" applyBorder="1"/>
    <xf numFmtId="10" fontId="67" fillId="0" borderId="0" xfId="13" applyNumberFormat="1" applyFont="1" applyAlignment="1" applyProtection="1">
      <alignment horizontal="center"/>
    </xf>
    <xf numFmtId="37" fontId="67" fillId="0" borderId="0" xfId="0" applyFont="1"/>
    <xf numFmtId="37" fontId="4" fillId="0" borderId="19" xfId="0" applyFont="1" applyBorder="1"/>
    <xf numFmtId="10" fontId="67" fillId="0" borderId="0" xfId="13" applyNumberFormat="1" applyFont="1" applyFill="1" applyAlignment="1" applyProtection="1">
      <alignment horizontal="center"/>
    </xf>
    <xf numFmtId="37" fontId="67" fillId="0" borderId="0" xfId="0" applyFont="1" applyFill="1"/>
    <xf numFmtId="37" fontId="16" fillId="0" borderId="32" xfId="0" applyFont="1" applyBorder="1"/>
    <xf numFmtId="37" fontId="16" fillId="0" borderId="6" xfId="0" applyFont="1" applyBorder="1"/>
    <xf numFmtId="37" fontId="16" fillId="0" borderId="19" xfId="0" applyFont="1" applyBorder="1"/>
    <xf numFmtId="37" fontId="16" fillId="0" borderId="0" xfId="0" applyFont="1" applyFill="1" applyBorder="1"/>
    <xf numFmtId="37" fontId="16" fillId="0" borderId="10" xfId="0" applyFont="1" applyBorder="1"/>
    <xf numFmtId="37" fontId="69" fillId="0" borderId="0" xfId="0" applyFont="1"/>
    <xf numFmtId="10" fontId="4" fillId="0" borderId="0" xfId="13" applyNumberFormat="1" applyFont="1" applyFill="1"/>
    <xf numFmtId="37" fontId="16" fillId="0" borderId="7" xfId="0" applyFont="1" applyBorder="1"/>
    <xf numFmtId="37" fontId="4" fillId="0" borderId="7" xfId="0" applyFont="1" applyFill="1" applyBorder="1"/>
    <xf numFmtId="37" fontId="16" fillId="0" borderId="0" xfId="0" applyFont="1" applyBorder="1" applyAlignment="1">
      <alignment horizontal="left"/>
    </xf>
    <xf numFmtId="37" fontId="67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27" fillId="0" borderId="0" xfId="0" applyFont="1" applyFill="1" applyBorder="1" applyAlignment="1">
      <alignment horizontal="left"/>
    </xf>
    <xf numFmtId="37" fontId="60" fillId="0" borderId="0" xfId="0" applyFont="1" applyFill="1"/>
    <xf numFmtId="37" fontId="10" fillId="0" borderId="0" xfId="0" applyFont="1" applyFill="1" applyAlignment="1" applyProtection="1">
      <alignment horizontal="left"/>
      <protection locked="0"/>
    </xf>
    <xf numFmtId="37" fontId="10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2" applyNumberFormat="1" applyFont="1" applyFill="1" applyProtection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56" fillId="0" borderId="0" xfId="0" applyNumberFormat="1" applyFont="1" applyBorder="1" applyProtection="1"/>
    <xf numFmtId="37" fontId="41" fillId="0" borderId="0" xfId="0" applyFont="1" applyFill="1" applyAlignment="1">
      <alignment horizontal="center"/>
    </xf>
    <xf numFmtId="185" fontId="41" fillId="0" borderId="0" xfId="1" applyNumberFormat="1" applyFont="1" applyFill="1"/>
    <xf numFmtId="10" fontId="41" fillId="0" borderId="0" xfId="13" applyNumberFormat="1" applyFont="1" applyFill="1"/>
    <xf numFmtId="39" fontId="0" fillId="0" borderId="0" xfId="0" applyNumberFormat="1" applyFill="1"/>
    <xf numFmtId="10" fontId="4" fillId="0" borderId="0" xfId="13" applyNumberFormat="1" applyFont="1" applyFill="1" applyBorder="1"/>
    <xf numFmtId="37" fontId="4" fillId="0" borderId="0" xfId="0" applyFont="1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left"/>
    </xf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185" fontId="0" fillId="0" borderId="5" xfId="1" applyNumberFormat="1" applyFont="1" applyFill="1" applyBorder="1"/>
    <xf numFmtId="182" fontId="0" fillId="0" borderId="10" xfId="2" applyNumberFormat="1" applyFont="1" applyFill="1" applyBorder="1"/>
    <xf numFmtId="37" fontId="0" fillId="0" borderId="0" xfId="0" applyFill="1" applyBorder="1" applyAlignment="1">
      <alignment horizontal="center"/>
    </xf>
    <xf numFmtId="44" fontId="4" fillId="0" borderId="0" xfId="2" applyFont="1" applyFill="1"/>
    <xf numFmtId="9" fontId="4" fillId="0" borderId="0" xfId="13" applyFont="1" applyFill="1"/>
    <xf numFmtId="182" fontId="4" fillId="0" borderId="0" xfId="13" applyNumberFormat="1" applyFont="1" applyFill="1" applyAlignment="1">
      <alignment horizontal="center"/>
    </xf>
    <xf numFmtId="185" fontId="4" fillId="0" borderId="5" xfId="1" applyNumberFormat="1" applyFont="1" applyFill="1" applyBorder="1"/>
    <xf numFmtId="185" fontId="4" fillId="0" borderId="7" xfId="1" applyNumberFormat="1" applyFont="1" applyFill="1" applyBorder="1"/>
    <xf numFmtId="187" fontId="4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10" fontId="0" fillId="0" borderId="0" xfId="13" quotePrefix="1" applyNumberFormat="1" applyFont="1" applyFill="1" applyAlignment="1">
      <alignment horizontal="center"/>
    </xf>
    <xf numFmtId="182" fontId="4" fillId="0" borderId="0" xfId="2" applyNumberFormat="1" applyFont="1" applyFill="1" applyBorder="1" applyAlignment="1">
      <alignment horizontal="center"/>
    </xf>
    <xf numFmtId="37" fontId="0" fillId="0" borderId="5" xfId="0" applyFill="1" applyBorder="1"/>
    <xf numFmtId="43" fontId="4" fillId="0" borderId="0" xfId="1" applyFont="1" applyFill="1" applyBorder="1" applyAlignment="1">
      <alignment horizontal="center"/>
    </xf>
    <xf numFmtId="182" fontId="0" fillId="0" borderId="0" xfId="2" applyNumberFormat="1" applyFont="1" applyFill="1" applyAlignment="1">
      <alignment horizontal="right"/>
    </xf>
    <xf numFmtId="182" fontId="4" fillId="0" borderId="0" xfId="2" applyNumberFormat="1" applyFont="1" applyFill="1" applyBorder="1" applyAlignment="1">
      <alignment horizontal="right"/>
    </xf>
    <xf numFmtId="185" fontId="23" fillId="0" borderId="0" xfId="0" applyNumberFormat="1" applyFont="1" applyFill="1"/>
    <xf numFmtId="182" fontId="10" fillId="0" borderId="0" xfId="2" applyNumberFormat="1" applyFont="1" applyFill="1"/>
    <xf numFmtId="185" fontId="4" fillId="0" borderId="19" xfId="1" applyNumberFormat="1" applyFont="1" applyFill="1" applyBorder="1"/>
    <xf numFmtId="37" fontId="0" fillId="0" borderId="3" xfId="0" applyFont="1" applyFill="1" applyBorder="1" applyAlignment="1" applyProtection="1">
      <alignment horizontal="center"/>
    </xf>
    <xf numFmtId="37" fontId="0" fillId="0" borderId="3" xfId="0" applyFont="1" applyFill="1" applyBorder="1"/>
    <xf numFmtId="37" fontId="0" fillId="0" borderId="3" xfId="0" applyFont="1" applyFill="1" applyBorder="1" applyProtection="1">
      <protection locked="0"/>
    </xf>
    <xf numFmtId="37" fontId="0" fillId="0" borderId="2" xfId="0" applyFont="1" applyFill="1" applyBorder="1"/>
    <xf numFmtId="37" fontId="0" fillId="0" borderId="2" xfId="0" applyFont="1" applyFill="1" applyBorder="1" applyAlignment="1" applyProtection="1">
      <alignment horizontal="left"/>
    </xf>
    <xf numFmtId="185" fontId="0" fillId="0" borderId="0" xfId="1" applyNumberFormat="1" applyFont="1" applyFill="1" applyProtection="1">
      <protection locked="0"/>
    </xf>
    <xf numFmtId="172" fontId="0" fillId="0" borderId="0" xfId="0" applyNumberFormat="1" applyFont="1" applyFill="1" applyProtection="1"/>
    <xf numFmtId="172" fontId="0" fillId="0" borderId="0" xfId="0" applyNumberFormat="1" applyFont="1" applyFill="1" applyProtection="1">
      <protection locked="0"/>
    </xf>
    <xf numFmtId="10" fontId="0" fillId="0" borderId="0" xfId="0" applyNumberFormat="1" applyFont="1" applyFill="1" applyProtection="1">
      <protection locked="0"/>
    </xf>
    <xf numFmtId="182" fontId="14" fillId="0" borderId="6" xfId="2" applyNumberFormat="1" applyFont="1" applyBorder="1" applyAlignment="1" applyProtection="1">
      <alignment horizontal="right"/>
    </xf>
    <xf numFmtId="9" fontId="0" fillId="0" borderId="0" xfId="13" applyFont="1" applyFill="1" applyBorder="1" applyAlignment="1" applyProtection="1">
      <alignment horizontal="center"/>
    </xf>
    <xf numFmtId="185" fontId="7" fillId="0" borderId="0" xfId="1" applyNumberFormat="1" applyFont="1" applyFill="1" applyBorder="1" applyProtection="1"/>
    <xf numFmtId="37" fontId="7" fillId="0" borderId="0" xfId="0" applyFont="1" applyFill="1" applyBorder="1" applyAlignment="1" applyProtection="1">
      <alignment horizontal="center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9" fontId="0" fillId="0" borderId="0" xfId="13" quotePrefix="1" applyFont="1" applyFill="1" applyAlignment="1">
      <alignment horizontal="center"/>
    </xf>
    <xf numFmtId="37" fontId="7" fillId="0" borderId="0" xfId="0" applyFont="1" applyFill="1" applyAlignment="1" applyProtection="1">
      <alignment horizontal="center"/>
    </xf>
    <xf numFmtId="10" fontId="4" fillId="0" borderId="0" xfId="13" applyNumberFormat="1" applyFont="1" applyFill="1" applyAlignment="1" applyProtection="1">
      <alignment horizontal="center"/>
    </xf>
    <xf numFmtId="37" fontId="0" fillId="0" borderId="5" xfId="0" applyFont="1" applyFill="1" applyBorder="1"/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4" fillId="0" borderId="0" xfId="13" applyNumberFormat="1" applyFont="1" applyFill="1" applyBorder="1" applyAlignment="1" applyProtection="1">
      <alignment horizontal="center"/>
    </xf>
    <xf numFmtId="182" fontId="4" fillId="0" borderId="0" xfId="2" applyNumberFormat="1" applyFont="1" applyFill="1" applyBorder="1" applyAlignment="1" applyProtection="1">
      <alignment horizontal="center"/>
    </xf>
    <xf numFmtId="185" fontId="4" fillId="0" borderId="5" xfId="1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>
      <alignment horizontal="center"/>
    </xf>
    <xf numFmtId="43" fontId="0" fillId="0" borderId="5" xfId="1" applyFont="1" applyFill="1" applyBorder="1"/>
    <xf numFmtId="37" fontId="0" fillId="0" borderId="0" xfId="0" applyFill="1" applyAlignment="1">
      <alignment horizontal="left" indent="1"/>
    </xf>
    <xf numFmtId="185" fontId="4" fillId="0" borderId="5" xfId="1" applyNumberFormat="1" applyFont="1" applyFill="1" applyBorder="1" applyAlignment="1">
      <alignment horizontal="center"/>
    </xf>
    <xf numFmtId="3" fontId="0" fillId="0" borderId="0" xfId="0" applyNumberFormat="1" applyFont="1"/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174" fontId="0" fillId="0" borderId="0" xfId="0" applyNumberFormat="1" applyFont="1" applyFill="1" applyProtection="1"/>
    <xf numFmtId="174" fontId="0" fillId="0" borderId="2" xfId="0" applyNumberFormat="1" applyFont="1" applyFill="1" applyBorder="1" applyProtection="1"/>
    <xf numFmtId="174" fontId="0" fillId="0" borderId="0" xfId="0" applyNumberFormat="1" applyFont="1" applyProtection="1"/>
    <xf numFmtId="174" fontId="0" fillId="0" borderId="2" xfId="0" applyNumberFormat="1" applyFont="1" applyBorder="1" applyProtection="1"/>
    <xf numFmtId="180" fontId="0" fillId="0" borderId="2" xfId="0" applyNumberFormat="1" applyFont="1" applyFill="1" applyBorder="1"/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0" fillId="0" borderId="7" xfId="0" applyNumberFormat="1" applyFont="1" applyFill="1" applyBorder="1" applyProtection="1"/>
    <xf numFmtId="10" fontId="71" fillId="0" borderId="0" xfId="13" applyNumberFormat="1" applyFont="1" applyFill="1"/>
    <xf numFmtId="5" fontId="0" fillId="0" borderId="0" xfId="0" applyNumberFormat="1" applyFont="1" applyFill="1" applyProtection="1"/>
    <xf numFmtId="169" fontId="0" fillId="0" borderId="0" xfId="0" applyNumberFormat="1" applyFont="1" applyFill="1" applyProtection="1"/>
    <xf numFmtId="49" fontId="16" fillId="0" borderId="0" xfId="0" applyNumberFormat="1" applyFont="1" applyFill="1" applyBorder="1" applyAlignment="1">
      <alignment horizontal="centerContinuous"/>
    </xf>
    <xf numFmtId="0" fontId="16" fillId="0" borderId="11" xfId="0" applyNumberFormat="1" applyFont="1" applyFill="1" applyBorder="1" applyAlignment="1">
      <alignment horizontal="centerContinuous"/>
    </xf>
    <xf numFmtId="10" fontId="14" fillId="0" borderId="0" xfId="0" applyNumberFormat="1" applyFont="1" applyFill="1" applyProtection="1"/>
    <xf numFmtId="10" fontId="14" fillId="0" borderId="5" xfId="0" applyNumberFormat="1" applyFont="1" applyFill="1" applyBorder="1" applyProtection="1"/>
    <xf numFmtId="10" fontId="14" fillId="0" borderId="5" xfId="13" applyNumberFormat="1" applyFont="1" applyFill="1" applyBorder="1" applyProtection="1"/>
    <xf numFmtId="10" fontId="14" fillId="0" borderId="2" xfId="13" applyNumberFormat="1" applyFont="1" applyFill="1" applyBorder="1" applyProtection="1"/>
    <xf numFmtId="10" fontId="14" fillId="0" borderId="0" xfId="13" applyNumberFormat="1" applyFont="1" applyFill="1"/>
    <xf numFmtId="10" fontId="14" fillId="0" borderId="0" xfId="0" applyNumberFormat="1" applyFont="1" applyFill="1"/>
    <xf numFmtId="10" fontId="14" fillId="0" borderId="2" xfId="0" applyNumberFormat="1" applyFont="1" applyFill="1" applyBorder="1" applyProtection="1"/>
    <xf numFmtId="37" fontId="14" fillId="0" borderId="6" xfId="0" applyNumberFormat="1" applyFont="1" applyFill="1" applyBorder="1" applyProtection="1"/>
    <xf numFmtId="10" fontId="14" fillId="0" borderId="6" xfId="0" applyNumberFormat="1" applyFont="1" applyFill="1" applyBorder="1" applyProtection="1"/>
    <xf numFmtId="164" fontId="14" fillId="0" borderId="0" xfId="0" applyNumberFormat="1" applyFont="1" applyFill="1" applyProtection="1"/>
    <xf numFmtId="10" fontId="17" fillId="0" borderId="0" xfId="0" applyNumberFormat="1" applyFont="1" applyFill="1" applyProtection="1"/>
    <xf numFmtId="49" fontId="14" fillId="0" borderId="0" xfId="0" applyNumberFormat="1" applyFont="1" applyFill="1" applyBorder="1" applyAlignment="1">
      <alignment horizontal="centerContinuous"/>
    </xf>
    <xf numFmtId="0" fontId="14" fillId="0" borderId="12" xfId="0" applyNumberFormat="1" applyFont="1" applyFill="1" applyBorder="1" applyAlignment="1">
      <alignment horizontal="centerContinuous"/>
    </xf>
    <xf numFmtId="0" fontId="14" fillId="0" borderId="13" xfId="0" applyNumberFormat="1" applyFont="1" applyFill="1" applyBorder="1" applyAlignment="1">
      <alignment horizontal="centerContinuous"/>
    </xf>
    <xf numFmtId="37" fontId="14" fillId="0" borderId="14" xfId="0" applyFont="1" applyFill="1" applyBorder="1"/>
    <xf numFmtId="37" fontId="14" fillId="0" borderId="0" xfId="0" applyFont="1" applyFill="1" applyBorder="1" applyAlignment="1" applyProtection="1">
      <alignment horizontal="center"/>
    </xf>
    <xf numFmtId="37" fontId="14" fillId="0" borderId="15" xfId="0" applyFont="1" applyFill="1" applyBorder="1" applyAlignment="1" applyProtection="1">
      <alignment horizontal="center"/>
    </xf>
    <xf numFmtId="37" fontId="14" fillId="0" borderId="16" xfId="0" applyFont="1" applyFill="1" applyBorder="1" applyAlignment="1" applyProtection="1">
      <alignment horizontal="center"/>
    </xf>
    <xf numFmtId="37" fontId="14" fillId="0" borderId="17" xfId="0" applyFont="1" applyFill="1" applyBorder="1"/>
    <xf numFmtId="37" fontId="14" fillId="0" borderId="17" xfId="0" applyFont="1" applyFill="1" applyBorder="1" applyAlignment="1" applyProtection="1">
      <alignment horizontal="center"/>
    </xf>
    <xf numFmtId="37" fontId="14" fillId="0" borderId="18" xfId="0" applyFont="1" applyFill="1" applyBorder="1" applyAlignment="1" applyProtection="1">
      <alignment horizontal="center"/>
    </xf>
    <xf numFmtId="170" fontId="0" fillId="0" borderId="0" xfId="13" applyNumberFormat="1" applyFont="1" applyFill="1" applyProtection="1"/>
    <xf numFmtId="9" fontId="0" fillId="0" borderId="0" xfId="0" applyNumberFormat="1" applyFont="1" applyFill="1"/>
    <xf numFmtId="37" fontId="0" fillId="0" borderId="2" xfId="0" applyFont="1" applyFill="1" applyBorder="1" applyProtection="1"/>
    <xf numFmtId="37" fontId="0" fillId="0" borderId="32" xfId="0" applyNumberFormat="1" applyFont="1" applyFill="1" applyBorder="1" applyProtection="1">
      <protection locked="0"/>
    </xf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1" fontId="0" fillId="0" borderId="0" xfId="0" applyNumberFormat="1" applyFont="1" applyFill="1" applyProtection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0" xfId="0" applyNumberFormat="1" applyFont="1" applyFill="1"/>
    <xf numFmtId="37" fontId="0" fillId="0" borderId="5" xfId="0" applyNumberFormat="1" applyFont="1" applyFill="1" applyBorder="1"/>
    <xf numFmtId="37" fontId="0" fillId="0" borderId="19" xfId="0" applyNumberFormat="1" applyFont="1" applyFill="1" applyBorder="1"/>
    <xf numFmtId="37" fontId="0" fillId="0" borderId="19" xfId="0" applyNumberFormat="1" applyFont="1" applyFill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7" fontId="16" fillId="0" borderId="0" xfId="0" applyFont="1" applyFill="1" applyAlignment="1">
      <alignment horizontal="center"/>
    </xf>
    <xf numFmtId="37" fontId="5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6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14" fillId="0" borderId="23" xfId="0" applyFont="1" applyBorder="1" applyAlignment="1">
      <alignment horizontal="center"/>
    </xf>
    <xf numFmtId="37" fontId="14" fillId="0" borderId="7" xfId="0" applyFont="1" applyBorder="1" applyAlignment="1">
      <alignment horizontal="center"/>
    </xf>
    <xf numFmtId="37" fontId="14" fillId="0" borderId="9" xfId="0" applyFont="1" applyBorder="1" applyAlignment="1">
      <alignment horizontal="center"/>
    </xf>
    <xf numFmtId="37" fontId="14" fillId="0" borderId="23" xfId="0" applyFont="1" applyBorder="1" applyAlignment="1" applyProtection="1">
      <alignment horizontal="center"/>
    </xf>
    <xf numFmtId="37" fontId="14" fillId="0" borderId="7" xfId="0" applyFont="1" applyBorder="1" applyAlignment="1" applyProtection="1">
      <alignment horizontal="center"/>
    </xf>
    <xf numFmtId="37" fontId="14" fillId="0" borderId="9" xfId="0" applyFont="1" applyBorder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Alignment="1">
      <alignment horizontal="center"/>
    </xf>
    <xf numFmtId="37" fontId="14" fillId="0" borderId="0" xfId="0" applyFont="1" applyFill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center"/>
      <protection locked="0"/>
    </xf>
    <xf numFmtId="37" fontId="16" fillId="0" borderId="0" xfId="0" applyFont="1" applyAlignment="1">
      <alignment horizontal="center"/>
    </xf>
    <xf numFmtId="37" fontId="16" fillId="0" borderId="0" xfId="5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5" fillId="0" borderId="29" xfId="0" applyFont="1" applyBorder="1" applyAlignment="1" applyProtection="1">
      <alignment horizontal="center"/>
    </xf>
    <xf numFmtId="37" fontId="5" fillId="0" borderId="19" xfId="0" applyFont="1" applyBorder="1" applyAlignment="1" applyProtection="1">
      <alignment horizontal="center"/>
    </xf>
    <xf numFmtId="37" fontId="5" fillId="0" borderId="24" xfId="0" applyFont="1" applyBorder="1" applyAlignment="1" applyProtection="1">
      <alignment horizontal="center"/>
    </xf>
    <xf numFmtId="49" fontId="0" fillId="0" borderId="3" xfId="0" applyNumberFormat="1" applyFont="1" applyBorder="1" applyAlignment="1">
      <alignment horizontal="center"/>
    </xf>
    <xf numFmtId="37" fontId="9" fillId="0" borderId="0" xfId="0" applyFont="1" applyFill="1" applyAlignment="1">
      <alignment horizontal="center"/>
    </xf>
    <xf numFmtId="37" fontId="6" fillId="0" borderId="0" xfId="0" applyFont="1" applyFill="1" applyAlignment="1" applyProtection="1">
      <alignment horizontal="center"/>
    </xf>
    <xf numFmtId="37" fontId="0" fillId="0" borderId="5" xfId="0" applyFont="1" applyFill="1" applyBorder="1" applyAlignment="1" applyProtection="1">
      <alignment horizontal="center"/>
    </xf>
    <xf numFmtId="37" fontId="14" fillId="0" borderId="0" xfId="0" applyFont="1" applyFill="1" applyAlignment="1">
      <alignment horizontal="center"/>
    </xf>
  </cellXfs>
  <cellStyles count="34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5 2" xfId="32"/>
    <cellStyle name="Normal 6" xfId="29"/>
    <cellStyle name="Normal 6 2" xfId="33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5.xml"/><Relationship Id="rId89" Type="http://schemas.openxmlformats.org/officeDocument/2006/relationships/externalLink" Target="externalLinks/externalLink10.xml"/><Relationship Id="rId112" Type="http://schemas.openxmlformats.org/officeDocument/2006/relationships/externalLink" Target="externalLinks/externalLink33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8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externalLink" Target="externalLinks/externalLink8.xml"/><Relationship Id="rId102" Type="http://schemas.openxmlformats.org/officeDocument/2006/relationships/externalLink" Target="externalLinks/externalLink23.xml"/><Relationship Id="rId110" Type="http://schemas.openxmlformats.org/officeDocument/2006/relationships/externalLink" Target="externalLinks/externalLink31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90" Type="http://schemas.openxmlformats.org/officeDocument/2006/relationships/externalLink" Target="externalLinks/externalLink11.xml"/><Relationship Id="rId95" Type="http://schemas.openxmlformats.org/officeDocument/2006/relationships/externalLink" Target="externalLinks/externalLink16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1.xml"/><Relationship Id="rId105" Type="http://schemas.openxmlformats.org/officeDocument/2006/relationships/externalLink" Target="externalLinks/externalLink26.xml"/><Relationship Id="rId113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externalLink" Target="externalLinks/externalLink6.xml"/><Relationship Id="rId93" Type="http://schemas.openxmlformats.org/officeDocument/2006/relationships/externalLink" Target="externalLinks/externalLink14.xml"/><Relationship Id="rId98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24.xml"/><Relationship Id="rId108" Type="http://schemas.openxmlformats.org/officeDocument/2006/relationships/externalLink" Target="externalLinks/externalLink29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4.xml"/><Relationship Id="rId88" Type="http://schemas.openxmlformats.org/officeDocument/2006/relationships/externalLink" Target="externalLinks/externalLink9.xml"/><Relationship Id="rId91" Type="http://schemas.openxmlformats.org/officeDocument/2006/relationships/externalLink" Target="externalLinks/externalLink12.xml"/><Relationship Id="rId96" Type="http://schemas.openxmlformats.org/officeDocument/2006/relationships/externalLink" Target="externalLinks/externalLink17.xml"/><Relationship Id="rId11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7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externalLink" Target="externalLinks/externalLink7.xml"/><Relationship Id="rId94" Type="http://schemas.openxmlformats.org/officeDocument/2006/relationships/externalLink" Target="externalLinks/externalLink15.xml"/><Relationship Id="rId99" Type="http://schemas.openxmlformats.org/officeDocument/2006/relationships/externalLink" Target="externalLinks/externalLink20.xml"/><Relationship Id="rId10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0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8.xml"/><Relationship Id="rId10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7%20-%20FY15%20Composite%20Factors%20for%20Rates_11.5.14%20Analysi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21%20-%20Income%20Statement%20Activity%20Mar15-Jul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4%20-%20Finrep%20I-S%202015%20-%20test%20for%20accoun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30%20-%20OM%20for%20KY-Fall%202015%20case_updat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8%20-%20Gas%20Cost%20by%20FERC-fall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22%20-%20Jurirep%20DTB%20activity-fall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35%20-%20Taxes%20Other%20-%20Finrep-%20Fall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5%20-%20FY%202016%20Ad%20Valorem%20Budge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34%20-%20Schedule%20F-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33%20-%20Schedule%20F%202%20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1%20-%20F%202%202%20Owensboro%20Country%20Club%20Expens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6%20-%20FY15%20Blending%20percentages%20for%20Greenville%20and%20CKV%20Center%20Effective%20Oct-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28%20-%20misc%20Finrep%20retrievals-fall%20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31%20-%20PLR%20Reg%20Asse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3%20-%20F6%20Schedule%20Rate%20Case%20Expense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8%20-%20Division%20009%20(Kentucky)%20Expense%20Report%20Review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9%20-%20Division%20091%20(General%20Office)%20Expense%20Report%20Review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5%20-%20Copy%20of%20Mar'15-Aug'15%20SS%20002%20IEXP%20Review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53%20-%20Mar'15-Aug'15%20SS%20012%20IEXP%20Review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2%20-%20F%209%20Schedule%20Kentucky%20Lease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3%20-%20Benefits%20Rates%20Calc%20as%20of%2009-08-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7%20-%20div%209%20labor%20analysis-%20fall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26%20-%20KY%20Plant%20Data-Fall%202015%20case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6%20-%20Copy%20of%20Workpaper%20G%203%20-%20Executive%20Compensation%20fall%202015%20F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32%20-%20PSC%20Assessment%20fee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20%20-%20historical%20inc%20statements-Fall%20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0%20-%20EMINT%2016%20-%201%200%20KSUMM%20KY%20CAP%20STR%20SUMMARY%20F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23%20-%20Kentucky%2016-13%20schedule%20-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4-%20cap%20rate%20for%20depr%20fall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2-21_Att2%20misc%20jurirep%20BS%20accts-fall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41%20-%20KY%20Revenue%20&amp;%20Billing%20Unit%20Forecast%202015%20TYE%205.31.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9%20-%20gas%20storage-Finrep-fall%202015%20updat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2-21_Att3%20-%20update%20to%20Staff_1-59_Att2%20-%20ADIT%20for%20KY%20Fall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5-00343%20(2015%20Kentucky%20Rate%20Case)/Staff%20Set%201%20Attachments/Staff_1-59%20Workpapers/Staff_1-59_Att1%20-%20Acct%20252%20Advances%20in%20Aid%20of%20Construction%20fall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actor Composite FY15FINAL"/>
      <sheetName val="3 Factor Composite FY15FINAL"/>
      <sheetName val="Composite FY13FINAL-old"/>
      <sheetName val="Composite FY13 w Impairment"/>
      <sheetName val="Composite FY13"/>
      <sheetName val="Mid States FY14"/>
      <sheetName val="CO KS FY14"/>
      <sheetName val="COdiv 2013"/>
      <sheetName val="West Texas FY15"/>
      <sheetName val="Div 002 Rates"/>
      <sheetName val="Div 012 Rates"/>
      <sheetName val="Sum customer count"/>
      <sheetName val="Summary customer count 2013-old"/>
      <sheetName val="Summary LA"/>
      <sheetName val="Summary WTX"/>
      <sheetName val="Summary Kentucky-Midstates"/>
      <sheetName val="Summary CO-KS"/>
      <sheetName val="Summary MS"/>
      <sheetName val="Summary Mid Tex"/>
      <sheetName val="Summary AtmosPipeline"/>
      <sheetName val="COKS"/>
      <sheetName val="KY, MdSt"/>
      <sheetName val="Liberty"/>
      <sheetName val="Liberty (2)"/>
    </sheetNames>
    <sheetDataSet>
      <sheetData sheetId="0"/>
      <sheetData sheetId="1">
        <row r="16">
          <cell r="Q16">
            <v>0.1086</v>
          </cell>
        </row>
        <row r="19">
          <cell r="Q19">
            <v>0.1071</v>
          </cell>
        </row>
      </sheetData>
      <sheetData sheetId="2"/>
      <sheetData sheetId="3"/>
      <sheetData sheetId="4"/>
      <sheetData sheetId="5">
        <row r="10">
          <cell r="H10">
            <v>0.52599015110063552</v>
          </cell>
          <cell r="J10">
            <v>0.49090457251500325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02"/>
      <sheetName val="Div 012"/>
      <sheetName val="Div 091"/>
      <sheetName val="Div 009"/>
      <sheetName val="Data"/>
      <sheetName val="Report Parameters1 - Atmos-Acc"/>
      <sheetName val="August Data"/>
    </sheetNames>
    <sheetDataSet>
      <sheetData sheetId="0">
        <row r="47">
          <cell r="C47">
            <v>-1.1525003174028825E-10</v>
          </cell>
          <cell r="D47">
            <v>-8.7311491370201111E-11</v>
          </cell>
          <cell r="E47">
            <v>-8.7311491370201111E-11</v>
          </cell>
          <cell r="F47">
            <v>-5.8207660913467407E-11</v>
          </cell>
          <cell r="G47">
            <v>-1.0186340659856796E-10</v>
          </cell>
          <cell r="H47">
            <v>-2.9103830456733704E-11</v>
          </cell>
        </row>
        <row r="48">
          <cell r="C48">
            <v>-1.0000000079745774E-2</v>
          </cell>
          <cell r="D48">
            <v>1.0000000026138878E-2</v>
          </cell>
          <cell r="E48">
            <v>9.9999998451494321E-3</v>
          </cell>
          <cell r="F48">
            <v>4.8203219193965197E-11</v>
          </cell>
          <cell r="G48">
            <v>2.9999999999899107E-2</v>
          </cell>
          <cell r="H48">
            <v>1.9999999955237074E-2</v>
          </cell>
        </row>
        <row r="49">
          <cell r="C49">
            <v>-49050003.82</v>
          </cell>
          <cell r="D49">
            <v>243921.77</v>
          </cell>
          <cell r="E49">
            <v>682125.79</v>
          </cell>
          <cell r="F49">
            <v>-5282607.1800000006</v>
          </cell>
          <cell r="G49">
            <v>3771359.7</v>
          </cell>
          <cell r="H49">
            <v>-1129701.1500000001</v>
          </cell>
        </row>
        <row r="50">
          <cell r="C50">
            <v>49238492.410000004</v>
          </cell>
          <cell r="D50"/>
          <cell r="E50"/>
          <cell r="F50">
            <v>6333834.4699999997</v>
          </cell>
          <cell r="G50"/>
          <cell r="H50"/>
        </row>
        <row r="63">
          <cell r="C63">
            <v>0</v>
          </cell>
          <cell r="D63">
            <v>555.19999999999982</v>
          </cell>
          <cell r="E63">
            <v>-229.90999999999985</v>
          </cell>
          <cell r="F63">
            <v>68.739999999999995</v>
          </cell>
          <cell r="G63">
            <v>46.490000000000023</v>
          </cell>
          <cell r="H63">
            <v>109.21</v>
          </cell>
        </row>
        <row r="64">
          <cell r="C64">
            <v>12344.87</v>
          </cell>
          <cell r="D64">
            <v>6006.1399999999994</v>
          </cell>
          <cell r="E64">
            <v>774.10999999999865</v>
          </cell>
          <cell r="F64">
            <v>150.88999999999817</v>
          </cell>
          <cell r="G64">
            <v>10189.64</v>
          </cell>
          <cell r="H64">
            <v>610.85999999999797</v>
          </cell>
        </row>
        <row r="65">
          <cell r="C65">
            <v>13304.42</v>
          </cell>
          <cell r="D65">
            <v>2002.1999999999998</v>
          </cell>
          <cell r="E65">
            <v>9281.380000000001</v>
          </cell>
          <cell r="F65">
            <v>11402.989999999998</v>
          </cell>
          <cell r="G65">
            <v>-1564.7399999999991</v>
          </cell>
          <cell r="H65">
            <v>10023.68</v>
          </cell>
        </row>
        <row r="66">
          <cell r="C66">
            <v>-1002.23</v>
          </cell>
          <cell r="D66"/>
          <cell r="E66"/>
          <cell r="F66"/>
          <cell r="G66"/>
          <cell r="H66"/>
        </row>
        <row r="67">
          <cell r="C67">
            <v>0</v>
          </cell>
          <cell r="D67">
            <v>10.81</v>
          </cell>
          <cell r="E67"/>
          <cell r="F67">
            <v>517.41999999999996</v>
          </cell>
          <cell r="G67">
            <v>40.46</v>
          </cell>
          <cell r="H67"/>
        </row>
        <row r="68">
          <cell r="C68"/>
          <cell r="D68">
            <v>499.76</v>
          </cell>
          <cell r="E68">
            <v>7088.05</v>
          </cell>
          <cell r="F68">
            <v>153.49</v>
          </cell>
          <cell r="G68">
            <v>361.78999999999996</v>
          </cell>
          <cell r="H68"/>
        </row>
        <row r="69">
          <cell r="C69">
            <v>3706.32</v>
          </cell>
          <cell r="D69">
            <v>3706.32</v>
          </cell>
          <cell r="E69">
            <v>3537.8300000000004</v>
          </cell>
          <cell r="F69">
            <v>3706.31</v>
          </cell>
          <cell r="G69">
            <v>3874.81</v>
          </cell>
          <cell r="H69">
            <v>3537.84</v>
          </cell>
        </row>
        <row r="70">
          <cell r="C70">
            <v>446.95</v>
          </cell>
          <cell r="D70"/>
          <cell r="E70"/>
          <cell r="F70"/>
          <cell r="G70"/>
          <cell r="H70"/>
        </row>
        <row r="71">
          <cell r="C71"/>
          <cell r="D71"/>
          <cell r="E71">
            <v>399.75</v>
          </cell>
          <cell r="F71"/>
          <cell r="G71">
            <v>275</v>
          </cell>
          <cell r="H71">
            <v>2244.69</v>
          </cell>
        </row>
        <row r="72">
          <cell r="C72">
            <v>-1579484.34</v>
          </cell>
          <cell r="D72">
            <v>-1201722.1799999997</v>
          </cell>
          <cell r="E72">
            <v>-261629.64999999959</v>
          </cell>
          <cell r="F72">
            <v>-2885600.439999999</v>
          </cell>
          <cell r="G72">
            <v>-5481318.5500000045</v>
          </cell>
          <cell r="H72">
            <v>-4808653.820000004</v>
          </cell>
        </row>
        <row r="73">
          <cell r="C73">
            <v>1249144.0200000003</v>
          </cell>
          <cell r="D73">
            <v>1505038.1899999985</v>
          </cell>
          <cell r="E73">
            <v>1602763.9199999997</v>
          </cell>
          <cell r="F73">
            <v>1774936.2400000007</v>
          </cell>
          <cell r="G73">
            <v>1683390.9000000008</v>
          </cell>
          <cell r="H73">
            <v>1837310.1600000008</v>
          </cell>
        </row>
        <row r="74">
          <cell r="C74">
            <v>-7204502.6800000016</v>
          </cell>
          <cell r="D74">
            <v>-6106733.1499999985</v>
          </cell>
          <cell r="E74">
            <v>-6844688.9299999932</v>
          </cell>
          <cell r="F74">
            <v>-6008451.9700000025</v>
          </cell>
          <cell r="G74">
            <v>-14931070.290000014</v>
          </cell>
          <cell r="H74">
            <v>2200870.8299999852</v>
          </cell>
        </row>
        <row r="75">
          <cell r="C75">
            <v>554634.34</v>
          </cell>
          <cell r="D75">
            <v>481432.66999999993</v>
          </cell>
          <cell r="E75">
            <v>555984.48</v>
          </cell>
          <cell r="F75">
            <v>917907.62</v>
          </cell>
          <cell r="G75">
            <v>627190.75</v>
          </cell>
          <cell r="H75">
            <v>682005.23</v>
          </cell>
        </row>
        <row r="76">
          <cell r="C76">
            <v>13536.98</v>
          </cell>
          <cell r="D76">
            <v>13536.98</v>
          </cell>
          <cell r="E76">
            <v>13536.98</v>
          </cell>
          <cell r="F76">
            <v>13536.98</v>
          </cell>
          <cell r="G76">
            <v>13615.279999999999</v>
          </cell>
          <cell r="H76">
            <v>13543.439999999999</v>
          </cell>
        </row>
        <row r="77">
          <cell r="C77">
            <v>1556099.58</v>
          </cell>
          <cell r="D77">
            <v>514911.73999999976</v>
          </cell>
          <cell r="E77">
            <v>557022.37999999989</v>
          </cell>
          <cell r="F77">
            <v>1557218.5799999998</v>
          </cell>
          <cell r="G77">
            <v>1560234.16</v>
          </cell>
          <cell r="H77">
            <v>1644852.8399999999</v>
          </cell>
        </row>
        <row r="78">
          <cell r="C78">
            <v>3191076.5699999961</v>
          </cell>
          <cell r="D78">
            <v>3057681.0599999968</v>
          </cell>
          <cell r="E78">
            <v>2761670.4400000027</v>
          </cell>
          <cell r="F78">
            <v>8736017.2399999946</v>
          </cell>
          <cell r="G78">
            <v>6882904.7500000112</v>
          </cell>
          <cell r="H78">
            <v>1762802.3200000015</v>
          </cell>
        </row>
        <row r="79">
          <cell r="C79"/>
          <cell r="D79"/>
          <cell r="E79"/>
          <cell r="F79">
            <v>49000</v>
          </cell>
          <cell r="G79"/>
          <cell r="H79"/>
        </row>
        <row r="80">
          <cell r="C80">
            <v>1754684.69</v>
          </cell>
          <cell r="D80">
            <v>264937.00999999995</v>
          </cell>
          <cell r="E80">
            <v>76913.89</v>
          </cell>
          <cell r="F80">
            <v>317125.99000000005</v>
          </cell>
          <cell r="G80">
            <v>363534.39000000007</v>
          </cell>
          <cell r="H80">
            <v>82445.079999999987</v>
          </cell>
        </row>
        <row r="81">
          <cell r="C81">
            <v>425099.12000000005</v>
          </cell>
          <cell r="D81">
            <v>415146.39000000013</v>
          </cell>
          <cell r="E81">
            <v>438152.84000000014</v>
          </cell>
          <cell r="F81">
            <v>410794.48</v>
          </cell>
          <cell r="G81">
            <v>431262.11000000004</v>
          </cell>
          <cell r="H81">
            <v>404455.09000000008</v>
          </cell>
        </row>
        <row r="82">
          <cell r="C82">
            <v>53285.08</v>
          </cell>
          <cell r="D82">
            <v>43331.92</v>
          </cell>
          <cell r="E82">
            <v>79999.809999999983</v>
          </cell>
          <cell r="F82">
            <v>52072.6</v>
          </cell>
          <cell r="G82">
            <v>16688.240000000002</v>
          </cell>
          <cell r="H82">
            <v>31285.159999999996</v>
          </cell>
        </row>
      </sheetData>
      <sheetData sheetId="1">
        <row r="29">
          <cell r="C29">
            <v>2.9103830456733704E-11</v>
          </cell>
          <cell r="D29">
            <v>2.9103830456733704E-11</v>
          </cell>
          <cell r="E29">
            <v>1.0186340659856796E-10</v>
          </cell>
          <cell r="F29">
            <v>-5.8207660913467407E-11</v>
          </cell>
          <cell r="G29">
            <v>-1.1641532182693481E-10</v>
          </cell>
          <cell r="H29">
            <v>7.2759576141834259E-12</v>
          </cell>
        </row>
        <row r="30">
          <cell r="C30">
            <v>-2.9103830456733704E-11</v>
          </cell>
          <cell r="D30">
            <v>1.0000000052968971E-2</v>
          </cell>
          <cell r="E30">
            <v>-2.4318325131389429E-11</v>
          </cell>
          <cell r="F30">
            <v>-9.99999999275758E-3</v>
          </cell>
          <cell r="G30">
            <v>1.4551915228366852E-11</v>
          </cell>
          <cell r="H30">
            <v>-1.9099388737231493E-11</v>
          </cell>
        </row>
        <row r="33">
          <cell r="C33"/>
          <cell r="D33"/>
          <cell r="E33">
            <v>110.8</v>
          </cell>
          <cell r="F33">
            <v>0</v>
          </cell>
          <cell r="G33"/>
          <cell r="H33"/>
        </row>
        <row r="34">
          <cell r="C34">
            <v>576.29</v>
          </cell>
          <cell r="D34">
            <v>2015.51</v>
          </cell>
          <cell r="E34">
            <v>1092.17</v>
          </cell>
          <cell r="F34">
            <v>1424.9099999999999</v>
          </cell>
          <cell r="G34">
            <v>1268.17</v>
          </cell>
          <cell r="H34">
            <v>3850.36</v>
          </cell>
        </row>
        <row r="35">
          <cell r="C35"/>
          <cell r="D35"/>
          <cell r="E35"/>
          <cell r="F35"/>
          <cell r="G35">
            <v>86.64</v>
          </cell>
          <cell r="H35"/>
        </row>
        <row r="36">
          <cell r="C36">
            <v>492128.35</v>
          </cell>
          <cell r="D36">
            <v>506968.62999999983</v>
          </cell>
          <cell r="E36">
            <v>484013.91</v>
          </cell>
          <cell r="F36">
            <v>513243.63000000006</v>
          </cell>
          <cell r="G36">
            <v>517441.16000000015</v>
          </cell>
          <cell r="H36">
            <v>482174.60000000015</v>
          </cell>
        </row>
        <row r="37">
          <cell r="C37"/>
          <cell r="D37"/>
          <cell r="E37"/>
          <cell r="F37"/>
          <cell r="G37">
            <v>647.53</v>
          </cell>
          <cell r="H37"/>
        </row>
        <row r="38">
          <cell r="C38">
            <v>2002011.2499999998</v>
          </cell>
          <cell r="D38">
            <v>2081127.2300000002</v>
          </cell>
          <cell r="E38">
            <v>1934126.7400000002</v>
          </cell>
          <cell r="F38">
            <v>1931715.2699999998</v>
          </cell>
          <cell r="G38">
            <v>2068679.1599999997</v>
          </cell>
          <cell r="H38">
            <v>1808885.1700000004</v>
          </cell>
        </row>
        <row r="39">
          <cell r="C39">
            <v>397661.68</v>
          </cell>
          <cell r="D39">
            <v>345241.76</v>
          </cell>
          <cell r="E39">
            <v>332031.28999999998</v>
          </cell>
          <cell r="F39">
            <v>327601.55</v>
          </cell>
          <cell r="G39">
            <v>366879.32</v>
          </cell>
          <cell r="H39">
            <v>374650.87</v>
          </cell>
        </row>
        <row r="40">
          <cell r="C40">
            <v>827251.4</v>
          </cell>
          <cell r="D40">
            <v>819939.57999999961</v>
          </cell>
          <cell r="E40">
            <v>894493.91</v>
          </cell>
          <cell r="F40">
            <v>879145.65</v>
          </cell>
          <cell r="G40">
            <v>936394.11999999988</v>
          </cell>
          <cell r="H40">
            <v>874386.96000000031</v>
          </cell>
        </row>
        <row r="41">
          <cell r="C41">
            <v>-5012946.4200000009</v>
          </cell>
          <cell r="D41">
            <v>-5016265.3699999992</v>
          </cell>
          <cell r="E41">
            <v>-4967862.3299999991</v>
          </cell>
          <cell r="F41">
            <v>-4893450.7599999988</v>
          </cell>
          <cell r="G41">
            <v>-5310774.2</v>
          </cell>
          <cell r="H41">
            <v>-4726287.3599999975</v>
          </cell>
        </row>
        <row r="42">
          <cell r="C42">
            <v>45897.87</v>
          </cell>
          <cell r="D42">
            <v>39094.75</v>
          </cell>
          <cell r="E42">
            <v>61427.96</v>
          </cell>
          <cell r="F42">
            <v>49206.939999999995</v>
          </cell>
          <cell r="G42">
            <v>408.03</v>
          </cell>
          <cell r="H42">
            <v>68225.12000000001</v>
          </cell>
        </row>
        <row r="43">
          <cell r="C43">
            <v>10471.56</v>
          </cell>
          <cell r="D43">
            <v>10471.56</v>
          </cell>
          <cell r="E43">
            <v>10471.56</v>
          </cell>
          <cell r="F43">
            <v>10471.56</v>
          </cell>
          <cell r="G43">
            <v>10471.56</v>
          </cell>
          <cell r="H43">
            <v>10471.56</v>
          </cell>
        </row>
        <row r="44">
          <cell r="C44"/>
          <cell r="D44">
            <v>263.10000000000002</v>
          </cell>
          <cell r="E44"/>
          <cell r="F44"/>
          <cell r="G44"/>
          <cell r="H44"/>
        </row>
        <row r="45">
          <cell r="C45">
            <v>1082828.1199999996</v>
          </cell>
          <cell r="D45">
            <v>1057005.1400000001</v>
          </cell>
          <cell r="E45">
            <v>1090778.6600000001</v>
          </cell>
          <cell r="F45">
            <v>1030066.7700000003</v>
          </cell>
          <cell r="G45">
            <v>1252829.4999999998</v>
          </cell>
          <cell r="H45">
            <v>951298.00999999989</v>
          </cell>
        </row>
        <row r="46">
          <cell r="C46">
            <v>151119.92000000001</v>
          </cell>
          <cell r="D46">
            <v>150819.15</v>
          </cell>
          <cell r="E46">
            <v>150915.37999999998</v>
          </cell>
          <cell r="F46">
            <v>150928.35999999999</v>
          </cell>
          <cell r="G46">
            <v>150935.1</v>
          </cell>
          <cell r="H46">
            <v>151108.78</v>
          </cell>
        </row>
        <row r="47">
          <cell r="C47">
            <v>3000</v>
          </cell>
          <cell r="D47">
            <v>3318.9800000000005</v>
          </cell>
          <cell r="E47">
            <v>8399.9599999999991</v>
          </cell>
          <cell r="F47">
            <v>144.44999999999999</v>
          </cell>
          <cell r="G47">
            <v>4235.5200000000004</v>
          </cell>
          <cell r="H47">
            <v>1235.8900000000001</v>
          </cell>
        </row>
      </sheetData>
      <sheetData sheetId="2">
        <row r="54">
          <cell r="C54">
            <v>-3.637978807091713E-12</v>
          </cell>
          <cell r="D54">
            <v>-7.9580786405131221E-13</v>
          </cell>
          <cell r="E54">
            <v>1.4495071809506044E-12</v>
          </cell>
          <cell r="F54">
            <v>-1.0231815394945443E-12</v>
          </cell>
          <cell r="G54">
            <v>1.7053025658242404E-12</v>
          </cell>
          <cell r="H54">
            <v>2.2026824808563106E-13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8">
          <cell r="C58">
            <v>1.4551915228366852E-11</v>
          </cell>
          <cell r="D58">
            <v>2.000000000800356E-2</v>
          </cell>
          <cell r="E58">
            <v>9.9999999990814104E-3</v>
          </cell>
          <cell r="F58">
            <v>-9.9999999972624209E-3</v>
          </cell>
          <cell r="G58">
            <v>1.9099388737231493E-11</v>
          </cell>
          <cell r="H58">
            <v>-1.9999999989522621E-2</v>
          </cell>
        </row>
        <row r="59">
          <cell r="C59">
            <v>-3573145.75</v>
          </cell>
          <cell r="D59">
            <v>3329272.2600000002</v>
          </cell>
          <cell r="E59">
            <v>89772.510000000009</v>
          </cell>
          <cell r="F59">
            <v>5876752.1100000003</v>
          </cell>
          <cell r="G59">
            <v>-545820.43999999994</v>
          </cell>
          <cell r="H59">
            <v>612234.46</v>
          </cell>
        </row>
        <row r="60">
          <cell r="C60">
            <v>6414151.5999999996</v>
          </cell>
          <cell r="D60"/>
          <cell r="E60"/>
          <cell r="F60">
            <v>-6157472.8499999996</v>
          </cell>
          <cell r="G60"/>
          <cell r="H60"/>
        </row>
        <row r="66">
          <cell r="C66">
            <v>41.25</v>
          </cell>
          <cell r="D66">
            <v>40.92</v>
          </cell>
          <cell r="E66">
            <v>38.36</v>
          </cell>
          <cell r="F66">
            <v>37.630000000000003</v>
          </cell>
          <cell r="G66">
            <v>41.48</v>
          </cell>
          <cell r="H66">
            <v>42.81</v>
          </cell>
        </row>
        <row r="67">
          <cell r="C67">
            <v>43.100000000000023</v>
          </cell>
          <cell r="D67">
            <v>42.759999999999991</v>
          </cell>
          <cell r="E67">
            <v>40.080000000000013</v>
          </cell>
          <cell r="F67">
            <v>39.319999999999965</v>
          </cell>
          <cell r="G67">
            <v>43.349999999999994</v>
          </cell>
          <cell r="H67">
            <v>30.579999999999984</v>
          </cell>
        </row>
        <row r="68">
          <cell r="C68">
            <v>880.41</v>
          </cell>
          <cell r="D68">
            <v>553.48</v>
          </cell>
          <cell r="E68">
            <v>1520.59</v>
          </cell>
          <cell r="F68">
            <v>4.5</v>
          </cell>
          <cell r="G68"/>
          <cell r="H68">
            <v>5.48</v>
          </cell>
        </row>
        <row r="69">
          <cell r="C69">
            <v>778.32999999999993</v>
          </cell>
          <cell r="D69">
            <v>213.39999999999998</v>
          </cell>
          <cell r="E69">
            <v>119.17999999999999</v>
          </cell>
          <cell r="F69">
            <v>151.1</v>
          </cell>
          <cell r="G69">
            <v>139.33000000000001</v>
          </cell>
          <cell r="H69">
            <v>15.97</v>
          </cell>
        </row>
        <row r="70">
          <cell r="C70">
            <v>58.33</v>
          </cell>
          <cell r="D70">
            <v>39.68</v>
          </cell>
          <cell r="E70">
            <v>15.11</v>
          </cell>
          <cell r="F70">
            <v>4.7699999999999996</v>
          </cell>
          <cell r="G70"/>
          <cell r="H70"/>
        </row>
        <row r="71">
          <cell r="C71">
            <v>2558.46</v>
          </cell>
          <cell r="D71">
            <v>3774.05</v>
          </cell>
          <cell r="E71">
            <v>2399.5500000000002</v>
          </cell>
          <cell r="F71">
            <v>1008.2900000000001</v>
          </cell>
          <cell r="G71">
            <v>289.12</v>
          </cell>
          <cell r="H71">
            <v>544.21</v>
          </cell>
        </row>
        <row r="72">
          <cell r="C72">
            <v>615.09999999999991</v>
          </cell>
          <cell r="D72">
            <v>54.980000000000018</v>
          </cell>
          <cell r="E72">
            <v>51.529999999999973</v>
          </cell>
          <cell r="F72">
            <v>50.56</v>
          </cell>
          <cell r="G72">
            <v>55.729999999999961</v>
          </cell>
          <cell r="H72">
            <v>125.81</v>
          </cell>
        </row>
        <row r="73">
          <cell r="C73">
            <v>82.49</v>
          </cell>
          <cell r="D73">
            <v>81.84</v>
          </cell>
          <cell r="E73">
            <v>76.709999999999994</v>
          </cell>
          <cell r="F73">
            <v>75.260000000000005</v>
          </cell>
          <cell r="G73">
            <v>82.96</v>
          </cell>
          <cell r="H73">
            <v>85.63</v>
          </cell>
        </row>
        <row r="74">
          <cell r="C74"/>
          <cell r="D74"/>
          <cell r="E74"/>
          <cell r="F74"/>
          <cell r="G74"/>
          <cell r="H74">
            <v>15.5</v>
          </cell>
        </row>
        <row r="75">
          <cell r="C75">
            <v>275478.31000000006</v>
          </cell>
          <cell r="D75">
            <v>270493.21999999997</v>
          </cell>
          <cell r="E75">
            <v>291757.97999999969</v>
          </cell>
          <cell r="F75">
            <v>254036.04999999987</v>
          </cell>
          <cell r="G75">
            <v>320551.94000000024</v>
          </cell>
          <cell r="H75">
            <v>247207.14000000016</v>
          </cell>
        </row>
        <row r="76">
          <cell r="C76">
            <v>7997.85</v>
          </cell>
          <cell r="D76">
            <v>16844.57</v>
          </cell>
          <cell r="E76"/>
          <cell r="F76">
            <v>156.66999999999999</v>
          </cell>
          <cell r="G76"/>
          <cell r="H76">
            <v>4309.78</v>
          </cell>
        </row>
        <row r="77">
          <cell r="C77">
            <v>7666.4500000000007</v>
          </cell>
          <cell r="D77">
            <v>12004.859999999999</v>
          </cell>
          <cell r="E77">
            <v>4450.4000000000005</v>
          </cell>
          <cell r="F77">
            <v>5701.5299999999979</v>
          </cell>
          <cell r="G77">
            <v>11810.709999999997</v>
          </cell>
          <cell r="H77">
            <v>9252.1499999999978</v>
          </cell>
        </row>
        <row r="78">
          <cell r="C78">
            <v>270.56</v>
          </cell>
          <cell r="D78">
            <v>517</v>
          </cell>
          <cell r="E78">
            <v>1497.26</v>
          </cell>
          <cell r="F78">
            <v>2584.36</v>
          </cell>
          <cell r="G78">
            <v>292.10000000000002</v>
          </cell>
          <cell r="H78">
            <v>6783.24</v>
          </cell>
        </row>
        <row r="79">
          <cell r="C79"/>
          <cell r="D79"/>
          <cell r="E79"/>
          <cell r="F79">
            <v>720</v>
          </cell>
          <cell r="G79"/>
          <cell r="H79"/>
        </row>
        <row r="80">
          <cell r="C80">
            <v>572.4</v>
          </cell>
          <cell r="D80">
            <v>15.5</v>
          </cell>
          <cell r="E80">
            <v>15</v>
          </cell>
          <cell r="F80">
            <v>3590.5</v>
          </cell>
          <cell r="G80"/>
          <cell r="H80"/>
        </row>
        <row r="81">
          <cell r="C81"/>
          <cell r="D81"/>
          <cell r="E81">
            <v>503.71000000000004</v>
          </cell>
          <cell r="F81"/>
          <cell r="G81"/>
          <cell r="H81"/>
        </row>
        <row r="82">
          <cell r="C82">
            <v>25712.25</v>
          </cell>
          <cell r="D82">
            <v>27867.590000000004</v>
          </cell>
          <cell r="E82">
            <v>22685.14</v>
          </cell>
          <cell r="F82">
            <v>24792.54</v>
          </cell>
          <cell r="G82">
            <v>23789.679999999993</v>
          </cell>
          <cell r="H82">
            <v>25854.180000000008</v>
          </cell>
        </row>
        <row r="83">
          <cell r="C83"/>
          <cell r="D83"/>
          <cell r="E83">
            <v>5000</v>
          </cell>
          <cell r="F83">
            <v>0</v>
          </cell>
          <cell r="G83"/>
          <cell r="H83"/>
        </row>
        <row r="84">
          <cell r="C84">
            <v>261150.09999999998</v>
          </cell>
          <cell r="D84">
            <v>262590.69</v>
          </cell>
          <cell r="E84">
            <v>235445.98</v>
          </cell>
          <cell r="F84">
            <v>239238.05000000002</v>
          </cell>
          <cell r="G84">
            <v>222692.06</v>
          </cell>
          <cell r="H84">
            <v>220918.12</v>
          </cell>
        </row>
        <row r="85">
          <cell r="C85">
            <v>80.69</v>
          </cell>
          <cell r="D85">
            <v>6.83</v>
          </cell>
          <cell r="E85"/>
          <cell r="F85"/>
          <cell r="G85">
            <v>61.29</v>
          </cell>
          <cell r="H85">
            <v>72.63</v>
          </cell>
        </row>
        <row r="86">
          <cell r="C86">
            <v>8143.9500000000007</v>
          </cell>
          <cell r="D86">
            <v>11938.72</v>
          </cell>
          <cell r="E86">
            <v>8546.0499999999993</v>
          </cell>
          <cell r="F86">
            <v>15853.81</v>
          </cell>
          <cell r="G86">
            <v>9151.119999999999</v>
          </cell>
          <cell r="H86">
            <v>9859.86</v>
          </cell>
        </row>
        <row r="87">
          <cell r="C87">
            <v>138.62</v>
          </cell>
          <cell r="D87"/>
          <cell r="E87"/>
          <cell r="F87"/>
          <cell r="G87"/>
          <cell r="H87"/>
        </row>
        <row r="88">
          <cell r="C88"/>
          <cell r="D88"/>
          <cell r="E88">
            <v>2321.0499999999997</v>
          </cell>
          <cell r="F88">
            <v>149.52000000000001</v>
          </cell>
          <cell r="G88"/>
          <cell r="H88"/>
        </row>
        <row r="89">
          <cell r="C89">
            <v>-4567.08</v>
          </cell>
          <cell r="D89">
            <v>-4656.62</v>
          </cell>
          <cell r="E89">
            <v>-5150.38</v>
          </cell>
          <cell r="F89">
            <v>-4164.2</v>
          </cell>
          <cell r="G89">
            <v>-4788.71</v>
          </cell>
          <cell r="H89">
            <v>-3965.03</v>
          </cell>
        </row>
        <row r="90">
          <cell r="C90"/>
          <cell r="D90">
            <v>579.5200000000001</v>
          </cell>
          <cell r="E90">
            <v>358</v>
          </cell>
          <cell r="F90">
            <v>46.04</v>
          </cell>
          <cell r="G90">
            <v>2250</v>
          </cell>
          <cell r="H90">
            <v>-1.04</v>
          </cell>
        </row>
        <row r="91">
          <cell r="C91">
            <v>-755677.71999999962</v>
          </cell>
          <cell r="D91">
            <v>-785580.09999999974</v>
          </cell>
          <cell r="E91">
            <v>-919770.84000000008</v>
          </cell>
          <cell r="F91">
            <v>-721489.99999999977</v>
          </cell>
          <cell r="G91">
            <v>-1326376.6400000004</v>
          </cell>
          <cell r="H91">
            <v>-697810.12999999977</v>
          </cell>
        </row>
        <row r="92">
          <cell r="C92">
            <v>22567.24</v>
          </cell>
          <cell r="D92">
            <v>12254.419999999998</v>
          </cell>
          <cell r="E92">
            <v>15853.769999999999</v>
          </cell>
          <cell r="F92">
            <v>9835.6299999999992</v>
          </cell>
          <cell r="G92">
            <v>0</v>
          </cell>
          <cell r="H92">
            <v>16709.309999999998</v>
          </cell>
        </row>
        <row r="93">
          <cell r="C93">
            <v>-668.09000000000015</v>
          </cell>
          <cell r="D93">
            <v>-827.91000000000008</v>
          </cell>
          <cell r="E93">
            <v>-800.05</v>
          </cell>
          <cell r="F93">
            <v>-873.82999999999993</v>
          </cell>
          <cell r="G93">
            <v>-836.98</v>
          </cell>
          <cell r="H93">
            <v>-886.79</v>
          </cell>
        </row>
        <row r="94">
          <cell r="C94">
            <v>25270.67</v>
          </cell>
          <cell r="D94">
            <v>14117.62</v>
          </cell>
          <cell r="E94">
            <v>24049.98</v>
          </cell>
          <cell r="F94">
            <v>23671.69</v>
          </cell>
          <cell r="G94">
            <v>23973.800000000003</v>
          </cell>
          <cell r="H94">
            <v>72437.69</v>
          </cell>
        </row>
        <row r="95">
          <cell r="C95">
            <v>113470.74999999996</v>
          </cell>
          <cell r="D95">
            <v>149784.31999999998</v>
          </cell>
          <cell r="E95">
            <v>293007.1499999995</v>
          </cell>
          <cell r="F95">
            <v>137531.18000000014</v>
          </cell>
          <cell r="G95">
            <v>709528.64</v>
          </cell>
          <cell r="H95">
            <v>81144.219999999987</v>
          </cell>
        </row>
        <row r="96">
          <cell r="C96">
            <v>7323.2</v>
          </cell>
          <cell r="D96">
            <v>7243.6</v>
          </cell>
          <cell r="E96">
            <v>15963.6</v>
          </cell>
          <cell r="F96">
            <v>7243.6</v>
          </cell>
          <cell r="G96">
            <v>7243.6</v>
          </cell>
          <cell r="H96">
            <v>7243.6</v>
          </cell>
        </row>
        <row r="97">
          <cell r="C97">
            <v>12.38</v>
          </cell>
          <cell r="D97">
            <v>5.0599999999999996</v>
          </cell>
          <cell r="E97">
            <v>5.0599999999999996</v>
          </cell>
          <cell r="F97">
            <v>5.44</v>
          </cell>
          <cell r="G97">
            <v>5.44</v>
          </cell>
          <cell r="H97">
            <v>5.0999999999999996</v>
          </cell>
        </row>
      </sheetData>
      <sheetData sheetId="3">
        <row r="114">
          <cell r="C114">
            <v>1500191.86</v>
          </cell>
          <cell r="D114">
            <v>1506918.1699999997</v>
          </cell>
          <cell r="E114">
            <v>1518671.0699999996</v>
          </cell>
          <cell r="F114">
            <v>1520812.2899999998</v>
          </cell>
          <cell r="G114">
            <v>1552385.67</v>
          </cell>
          <cell r="H114">
            <v>1579114.02</v>
          </cell>
        </row>
        <row r="115">
          <cell r="C115">
            <v>4037.2</v>
          </cell>
          <cell r="D115">
            <v>4037.2</v>
          </cell>
          <cell r="E115">
            <v>4037.2</v>
          </cell>
          <cell r="F115">
            <v>4037.2</v>
          </cell>
          <cell r="G115">
            <v>4037.2</v>
          </cell>
          <cell r="H115">
            <v>4037.2</v>
          </cell>
        </row>
        <row r="118">
          <cell r="C118">
            <v>455463.65</v>
          </cell>
          <cell r="D118">
            <v>551122.26000000013</v>
          </cell>
          <cell r="E118">
            <v>603830.34000000008</v>
          </cell>
          <cell r="F118">
            <v>554649.64000000013</v>
          </cell>
          <cell r="G118">
            <v>583075.11999999976</v>
          </cell>
          <cell r="H118">
            <v>562687.59999999974</v>
          </cell>
        </row>
        <row r="133">
          <cell r="C133">
            <v>-17499149.710000001</v>
          </cell>
          <cell r="D133">
            <v>-8835751.8200000003</v>
          </cell>
          <cell r="E133">
            <v>-4807184.55</v>
          </cell>
          <cell r="F133">
            <v>-3947246.7099999995</v>
          </cell>
          <cell r="G133">
            <v>-3682775</v>
          </cell>
          <cell r="H133">
            <v>-3592522.5400000005</v>
          </cell>
        </row>
        <row r="134">
          <cell r="C134">
            <v>2497143.59</v>
          </cell>
          <cell r="D134">
            <v>2805243</v>
          </cell>
          <cell r="E134">
            <v>1117326</v>
          </cell>
          <cell r="F134">
            <v>211816.98</v>
          </cell>
          <cell r="G134">
            <v>161218.25</v>
          </cell>
          <cell r="H134">
            <v>-5454.23</v>
          </cell>
        </row>
        <row r="135">
          <cell r="C135">
            <v>-7186235.0599999996</v>
          </cell>
          <cell r="D135">
            <v>-3658789.95</v>
          </cell>
          <cell r="E135">
            <v>-2042626.48</v>
          </cell>
          <cell r="F135">
            <v>-1726997.6099999999</v>
          </cell>
          <cell r="G135">
            <v>-1684522.5299999998</v>
          </cell>
          <cell r="H135">
            <v>-1618594.2600000002</v>
          </cell>
        </row>
        <row r="136">
          <cell r="C136">
            <v>-1197881.69</v>
          </cell>
          <cell r="D136">
            <v>-487790.35</v>
          </cell>
          <cell r="E136">
            <v>-362212.99</v>
          </cell>
          <cell r="F136">
            <v>-346989.15</v>
          </cell>
          <cell r="G136">
            <v>-238423.65999999997</v>
          </cell>
          <cell r="H136">
            <v>-291127.43</v>
          </cell>
        </row>
        <row r="137">
          <cell r="C137">
            <v>1346282.01</v>
          </cell>
          <cell r="D137">
            <v>1132848</v>
          </cell>
          <cell r="E137">
            <v>435895</v>
          </cell>
          <cell r="F137">
            <v>31310.63</v>
          </cell>
          <cell r="G137">
            <v>55324.13</v>
          </cell>
          <cell r="H137">
            <v>-29339.759999999995</v>
          </cell>
        </row>
        <row r="138">
          <cell r="C138">
            <v>11983.32</v>
          </cell>
          <cell r="D138">
            <v>-3875.7599999999998</v>
          </cell>
          <cell r="E138">
            <v>-369.73</v>
          </cell>
          <cell r="F138">
            <v>27777.65</v>
          </cell>
          <cell r="G138">
            <v>16652.580000000002</v>
          </cell>
          <cell r="H138">
            <v>62629.25</v>
          </cell>
        </row>
        <row r="139">
          <cell r="C139">
            <v>-1446421.2300000002</v>
          </cell>
          <cell r="D139">
            <v>-695366.92</v>
          </cell>
          <cell r="E139">
            <v>-390277.04</v>
          </cell>
          <cell r="F139">
            <v>-265750.75</v>
          </cell>
          <cell r="G139">
            <v>-234283.08000000002</v>
          </cell>
          <cell r="H139">
            <v>-225612.40000000002</v>
          </cell>
        </row>
        <row r="140">
          <cell r="C140">
            <v>264396.38</v>
          </cell>
          <cell r="D140">
            <v>244216</v>
          </cell>
          <cell r="E140">
            <v>77237</v>
          </cell>
          <cell r="F140">
            <v>28967.09</v>
          </cell>
          <cell r="G140">
            <v>19607.62</v>
          </cell>
          <cell r="H140">
            <v>-5230.71</v>
          </cell>
        </row>
        <row r="141">
          <cell r="C141">
            <v>-201601.71</v>
          </cell>
          <cell r="D141">
            <v>-223761.32</v>
          </cell>
          <cell r="E141">
            <v>-89188.51</v>
          </cell>
          <cell r="F141">
            <v>-60407.39</v>
          </cell>
          <cell r="G141">
            <v>-59251.95</v>
          </cell>
          <cell r="H141">
            <v>-46947.86</v>
          </cell>
        </row>
        <row r="142">
          <cell r="C142">
            <v>-61994.87</v>
          </cell>
          <cell r="D142">
            <v>-55114</v>
          </cell>
          <cell r="E142">
            <v>-56775</v>
          </cell>
          <cell r="F142">
            <v>-53153</v>
          </cell>
          <cell r="G142">
            <v>-52376</v>
          </cell>
          <cell r="H142">
            <v>-49804.14</v>
          </cell>
        </row>
        <row r="143">
          <cell r="C143">
            <v>-1391289.63</v>
          </cell>
          <cell r="D143">
            <v>-1208824.44</v>
          </cell>
          <cell r="E143">
            <v>-1170378.6300000001</v>
          </cell>
          <cell r="F143">
            <v>-1061614.27</v>
          </cell>
          <cell r="G143">
            <v>-1069176.8499999999</v>
          </cell>
          <cell r="H143">
            <v>-1130107.73</v>
          </cell>
        </row>
        <row r="144">
          <cell r="C144">
            <v>46.94</v>
          </cell>
          <cell r="D144"/>
          <cell r="E144"/>
          <cell r="F144"/>
          <cell r="G144"/>
        </row>
        <row r="145">
          <cell r="C145">
            <v>283919.86</v>
          </cell>
          <cell r="D145">
            <v>308563.48</v>
          </cell>
          <cell r="E145"/>
          <cell r="F145"/>
          <cell r="G145"/>
          <cell r="H145"/>
        </row>
        <row r="146">
          <cell r="C146">
            <v>12478.22</v>
          </cell>
          <cell r="D146">
            <v>9142.89</v>
          </cell>
          <cell r="E146">
            <v>5884.15</v>
          </cell>
          <cell r="F146">
            <v>5792.12</v>
          </cell>
          <cell r="G146">
            <v>5654.6</v>
          </cell>
          <cell r="H146">
            <v>5582.17</v>
          </cell>
        </row>
        <row r="147">
          <cell r="C147">
            <v>5149422.08</v>
          </cell>
          <cell r="D147">
            <v>1646030.6600000001</v>
          </cell>
          <cell r="E147">
            <v>5591672.6000000006</v>
          </cell>
          <cell r="F147">
            <v>4195844.6000000006</v>
          </cell>
          <cell r="G147">
            <v>4747563.33</v>
          </cell>
          <cell r="H147">
            <v>4098565.67</v>
          </cell>
        </row>
        <row r="148">
          <cell r="C148">
            <v>31610.82</v>
          </cell>
          <cell r="D148">
            <v>-11.62</v>
          </cell>
          <cell r="E148">
            <v>-765.92</v>
          </cell>
          <cell r="F148">
            <v>-880.49</v>
          </cell>
          <cell r="G148">
            <v>-2487.39</v>
          </cell>
          <cell r="H148">
            <v>-1631.6</v>
          </cell>
        </row>
        <row r="149">
          <cell r="C149">
            <v>12663742.939999999</v>
          </cell>
          <cell r="D149">
            <v>4789926.13</v>
          </cell>
          <cell r="E149">
            <v>1691271.03</v>
          </cell>
          <cell r="F149">
            <v>1010733.82</v>
          </cell>
          <cell r="G149">
            <v>814974.36</v>
          </cell>
          <cell r="H149">
            <v>735807.38</v>
          </cell>
        </row>
        <row r="150">
          <cell r="C150">
            <v>5498969.8499999996</v>
          </cell>
          <cell r="D150">
            <v>2291650.2599999998</v>
          </cell>
          <cell r="E150">
            <v>1026586.75</v>
          </cell>
          <cell r="F150">
            <v>770086.28</v>
          </cell>
          <cell r="G150">
            <v>725981.62</v>
          </cell>
          <cell r="H150">
            <v>687353.88</v>
          </cell>
        </row>
        <row r="151">
          <cell r="C151">
            <v>1013091.73</v>
          </cell>
          <cell r="D151">
            <v>416471.71</v>
          </cell>
          <cell r="E151">
            <v>308587.78999999998</v>
          </cell>
          <cell r="F151">
            <v>278354.96999999997</v>
          </cell>
          <cell r="G151">
            <v>172149.93</v>
          </cell>
          <cell r="H151">
            <v>219343.32</v>
          </cell>
        </row>
        <row r="152">
          <cell r="C152">
            <v>1193064.04</v>
          </cell>
          <cell r="D152">
            <v>500918.35</v>
          </cell>
          <cell r="E152">
            <v>259798.57</v>
          </cell>
          <cell r="F152">
            <v>158243.89000000001</v>
          </cell>
          <cell r="G152">
            <v>132851.9</v>
          </cell>
          <cell r="H152">
            <v>122285.33</v>
          </cell>
        </row>
        <row r="153">
          <cell r="C153">
            <v>-4070155.54</v>
          </cell>
          <cell r="D153">
            <v>-3421339.03</v>
          </cell>
          <cell r="E153">
            <v>-1284236.83</v>
          </cell>
          <cell r="F153">
            <v>-235913.03000000003</v>
          </cell>
          <cell r="G153">
            <v>-219303.78</v>
          </cell>
          <cell r="H153">
            <v>-2498.3800000000047</v>
          </cell>
        </row>
        <row r="154">
          <cell r="C154">
            <v>-16484690.699999999</v>
          </cell>
          <cell r="D154">
            <v>-9889925.5700000003</v>
          </cell>
          <cell r="E154">
            <v>-4545617.1100000003</v>
          </cell>
          <cell r="F154">
            <v>-2829673.48</v>
          </cell>
          <cell r="G154">
            <v>-2925871.39</v>
          </cell>
          <cell r="H154">
            <v>-2689152.57</v>
          </cell>
        </row>
        <row r="155">
          <cell r="C155">
            <v>1550074.37</v>
          </cell>
          <cell r="D155">
            <v>1665423.99</v>
          </cell>
          <cell r="E155">
            <v>-1053696.3600000001</v>
          </cell>
          <cell r="F155">
            <v>-987004.77</v>
          </cell>
          <cell r="G155">
            <v>-1232655.3600000001</v>
          </cell>
          <cell r="H155">
            <v>-797043.91</v>
          </cell>
        </row>
        <row r="156">
          <cell r="C156">
            <v>7184511.9900000002</v>
          </cell>
          <cell r="D156">
            <v>3885976.22</v>
          </cell>
          <cell r="E156">
            <v>2868.24</v>
          </cell>
          <cell r="F156"/>
          <cell r="G156"/>
          <cell r="H156">
            <v>3675.16</v>
          </cell>
        </row>
        <row r="157">
          <cell r="C157">
            <v>-13313.93</v>
          </cell>
          <cell r="D157">
            <v>-19575.97</v>
          </cell>
          <cell r="E157">
            <v>-2019076.98</v>
          </cell>
          <cell r="F157">
            <v>-2027059.2</v>
          </cell>
          <cell r="G157">
            <v>-2178815.0499999998</v>
          </cell>
          <cell r="H157">
            <v>-2188764.84</v>
          </cell>
        </row>
        <row r="158">
          <cell r="C158">
            <v>-2015.9000000000015</v>
          </cell>
          <cell r="D158">
            <v>-1412.8099999999995</v>
          </cell>
          <cell r="E158">
            <v>-678.5</v>
          </cell>
          <cell r="F158">
            <v>1025.4499999999998</v>
          </cell>
          <cell r="G158">
            <v>142.77999999999997</v>
          </cell>
          <cell r="H158">
            <v>83.759999999999991</v>
          </cell>
        </row>
        <row r="159">
          <cell r="C159">
            <v>-284.99</v>
          </cell>
          <cell r="D159"/>
          <cell r="E159"/>
          <cell r="F159"/>
          <cell r="G159"/>
          <cell r="H159"/>
        </row>
        <row r="160">
          <cell r="C160">
            <v>8712.2300000000014</v>
          </cell>
          <cell r="D160">
            <v>19621.62</v>
          </cell>
          <cell r="E160">
            <v>1888.71</v>
          </cell>
          <cell r="F160">
            <v>1878.57</v>
          </cell>
          <cell r="G160">
            <v>3796.64</v>
          </cell>
          <cell r="H160">
            <v>14701.06</v>
          </cell>
        </row>
        <row r="161">
          <cell r="C161">
            <v>8336.66</v>
          </cell>
          <cell r="D161">
            <v>4065.4399999999996</v>
          </cell>
          <cell r="E161">
            <v>1563.6000000000001</v>
          </cell>
          <cell r="F161">
            <v>2088.5899999999997</v>
          </cell>
          <cell r="G161">
            <v>2578.9300000000003</v>
          </cell>
          <cell r="H161">
            <v>538.5</v>
          </cell>
        </row>
        <row r="162">
          <cell r="C162">
            <v>2110.71</v>
          </cell>
          <cell r="D162">
            <v>4870.84</v>
          </cell>
          <cell r="E162">
            <v>3731.9700000000003</v>
          </cell>
          <cell r="F162">
            <v>-260.41000000000003</v>
          </cell>
          <cell r="G162">
            <v>2552.6400000000003</v>
          </cell>
          <cell r="H162">
            <v>1489.79</v>
          </cell>
        </row>
        <row r="163">
          <cell r="C163">
            <v>88.48</v>
          </cell>
          <cell r="D163">
            <v>80.42</v>
          </cell>
          <cell r="E163">
            <v>77.91</v>
          </cell>
          <cell r="F163">
            <v>3.04</v>
          </cell>
          <cell r="G163">
            <v>82.04</v>
          </cell>
          <cell r="H163">
            <v>82.83</v>
          </cell>
        </row>
        <row r="164">
          <cell r="C164">
            <v>925.36</v>
          </cell>
          <cell r="D164">
            <v>375.88</v>
          </cell>
          <cell r="E164">
            <v>-50.620000000000005</v>
          </cell>
          <cell r="F164">
            <v>94.17</v>
          </cell>
          <cell r="G164">
            <v>94.56</v>
          </cell>
          <cell r="H164">
            <v>86.6</v>
          </cell>
        </row>
        <row r="165">
          <cell r="C165">
            <v>12439.340000000002</v>
          </cell>
          <cell r="D165">
            <v>-1434.7399999999998</v>
          </cell>
          <cell r="E165">
            <v>-238.72</v>
          </cell>
          <cell r="F165">
            <v>459.40999999999997</v>
          </cell>
          <cell r="G165">
            <v>425.49</v>
          </cell>
          <cell r="H165">
            <v>14630.41</v>
          </cell>
        </row>
        <row r="166">
          <cell r="C166">
            <v>651.09</v>
          </cell>
          <cell r="D166">
            <v>30.549999999999997</v>
          </cell>
          <cell r="E166">
            <v>25.48</v>
          </cell>
          <cell r="F166">
            <v>52.61</v>
          </cell>
          <cell r="G166">
            <v>20.02</v>
          </cell>
          <cell r="H166"/>
        </row>
        <row r="167">
          <cell r="C167">
            <v>2468.6699999999996</v>
          </cell>
          <cell r="D167">
            <v>1059.6300000000001</v>
          </cell>
          <cell r="E167">
            <v>354.31000000000006</v>
          </cell>
          <cell r="F167">
            <v>698.02000000000021</v>
          </cell>
          <cell r="G167">
            <v>133.5</v>
          </cell>
          <cell r="H167">
            <v>113.09</v>
          </cell>
        </row>
        <row r="168">
          <cell r="C168">
            <v>600</v>
          </cell>
          <cell r="D168"/>
          <cell r="E168">
            <v>750</v>
          </cell>
          <cell r="F168"/>
          <cell r="G168">
            <v>300</v>
          </cell>
          <cell r="H168">
            <v>600</v>
          </cell>
        </row>
        <row r="169">
          <cell r="C169">
            <v>17.850000000000023</v>
          </cell>
          <cell r="D169">
            <v>654.18000000000006</v>
          </cell>
          <cell r="E169">
            <v>758.91</v>
          </cell>
          <cell r="F169">
            <v>512.27</v>
          </cell>
          <cell r="G169">
            <v>-132.81</v>
          </cell>
          <cell r="H169"/>
        </row>
        <row r="170">
          <cell r="C170">
            <v>1062.48</v>
          </cell>
          <cell r="D170">
            <v>-398.43</v>
          </cell>
          <cell r="E170"/>
          <cell r="F170">
            <v>536.30999999999995</v>
          </cell>
          <cell r="G170">
            <v>-132.81</v>
          </cell>
          <cell r="H170">
            <v>173.45</v>
          </cell>
        </row>
        <row r="171">
          <cell r="C171"/>
          <cell r="D171"/>
          <cell r="E171">
            <v>147.57</v>
          </cell>
          <cell r="F171">
            <v>-21.08</v>
          </cell>
          <cell r="G171"/>
          <cell r="H171"/>
        </row>
        <row r="172">
          <cell r="C172">
            <v>3408.6099999999997</v>
          </cell>
          <cell r="D172">
            <v>13509.07</v>
          </cell>
          <cell r="E172">
            <v>9210.5400000000009</v>
          </cell>
          <cell r="F172">
            <v>14340.630000000001</v>
          </cell>
          <cell r="G172">
            <v>14108.560000000001</v>
          </cell>
          <cell r="H172">
            <v>11974.95</v>
          </cell>
        </row>
        <row r="173">
          <cell r="C173"/>
          <cell r="D173"/>
          <cell r="E173"/>
          <cell r="F173"/>
          <cell r="G173"/>
          <cell r="H173">
            <v>29.91</v>
          </cell>
        </row>
        <row r="174">
          <cell r="C174">
            <v>24144.68</v>
          </cell>
          <cell r="D174">
            <v>43383.79</v>
          </cell>
          <cell r="E174">
            <v>11396.799999999997</v>
          </cell>
          <cell r="F174">
            <v>26439.250000000004</v>
          </cell>
          <cell r="G174">
            <v>16253.01</v>
          </cell>
          <cell r="H174">
            <v>44203.270000000011</v>
          </cell>
        </row>
        <row r="175">
          <cell r="C175">
            <v>7494.5</v>
          </cell>
          <cell r="D175">
            <v>543.74</v>
          </cell>
          <cell r="E175">
            <v>3496.8999999999996</v>
          </cell>
          <cell r="F175">
            <v>4550.3700000000008</v>
          </cell>
          <cell r="G175">
            <v>1846.6399999999999</v>
          </cell>
          <cell r="H175">
            <v>90.190000000000055</v>
          </cell>
        </row>
        <row r="176">
          <cell r="C176">
            <v>2285987.29</v>
          </cell>
          <cell r="D176">
            <v>2394375.9200000004</v>
          </cell>
          <cell r="E176">
            <v>2018731.38</v>
          </cell>
          <cell r="F176">
            <v>1642981.22</v>
          </cell>
          <cell r="G176">
            <v>1586611.2600000002</v>
          </cell>
          <cell r="H176">
            <v>1568769.92</v>
          </cell>
        </row>
        <row r="177">
          <cell r="C177"/>
          <cell r="D177">
            <v>215.03</v>
          </cell>
          <cell r="E177">
            <v>897.19999999999993</v>
          </cell>
          <cell r="F177">
            <v>-140.82</v>
          </cell>
          <cell r="G177">
            <v>1240.4100000000001</v>
          </cell>
          <cell r="H177">
            <v>804.21</v>
          </cell>
        </row>
        <row r="178">
          <cell r="C178"/>
          <cell r="D178"/>
          <cell r="E178">
            <v>2862.96</v>
          </cell>
          <cell r="F178">
            <v>279.2</v>
          </cell>
          <cell r="G178">
            <v>-177.08</v>
          </cell>
          <cell r="H178"/>
        </row>
        <row r="179">
          <cell r="C179">
            <v>108924.19999999965</v>
          </cell>
          <cell r="D179">
            <v>123894.28000000009</v>
          </cell>
          <cell r="E179">
            <v>87335.919999999882</v>
          </cell>
          <cell r="F179">
            <v>96211.379999999917</v>
          </cell>
          <cell r="G179">
            <v>106036.00999999997</v>
          </cell>
          <cell r="H179">
            <v>139540.11999999976</v>
          </cell>
        </row>
        <row r="180">
          <cell r="C180">
            <v>911.53</v>
          </cell>
          <cell r="D180">
            <v>19.5</v>
          </cell>
          <cell r="E180">
            <v>21.6</v>
          </cell>
          <cell r="F180">
            <v>41.290000000000006</v>
          </cell>
          <cell r="G180">
            <v>41.41</v>
          </cell>
          <cell r="H180">
            <v>21.52</v>
          </cell>
        </row>
        <row r="181">
          <cell r="C181"/>
          <cell r="D181"/>
          <cell r="E181"/>
          <cell r="F181">
            <v>5985.9</v>
          </cell>
          <cell r="G181"/>
          <cell r="H181"/>
        </row>
        <row r="182">
          <cell r="C182">
            <v>337866.07</v>
          </cell>
          <cell r="D182">
            <v>322093.16000000003</v>
          </cell>
          <cell r="E182">
            <v>299562.99000000011</v>
          </cell>
          <cell r="F182">
            <v>331434.98000000004</v>
          </cell>
          <cell r="G182">
            <v>348644.54999999987</v>
          </cell>
          <cell r="H182">
            <v>297225.92</v>
          </cell>
        </row>
        <row r="183">
          <cell r="C183">
            <v>40672.54</v>
          </cell>
          <cell r="D183">
            <v>12822.8</v>
          </cell>
          <cell r="E183">
            <v>59894.830000000009</v>
          </cell>
          <cell r="F183">
            <v>30927.120000000006</v>
          </cell>
          <cell r="G183">
            <v>39263.279999999992</v>
          </cell>
          <cell r="H183">
            <v>22811.64</v>
          </cell>
        </row>
        <row r="184">
          <cell r="C184">
            <v>1931.5</v>
          </cell>
          <cell r="D184">
            <v>534.79</v>
          </cell>
          <cell r="E184">
            <v>2812.65</v>
          </cell>
          <cell r="F184">
            <v>2681.4599999999996</v>
          </cell>
          <cell r="G184">
            <v>3657.0099999999998</v>
          </cell>
          <cell r="H184">
            <v>6084.99</v>
          </cell>
        </row>
        <row r="185">
          <cell r="C185">
            <v>4439.130000000001</v>
          </cell>
          <cell r="D185">
            <v>3366.64</v>
          </cell>
          <cell r="E185">
            <v>4994.420000000001</v>
          </cell>
          <cell r="F185">
            <v>11335.130000000001</v>
          </cell>
          <cell r="G185">
            <v>23157.57</v>
          </cell>
          <cell r="H185">
            <v>21429.11</v>
          </cell>
        </row>
        <row r="186">
          <cell r="C186">
            <v>85679.659999999931</v>
          </cell>
          <cell r="D186">
            <v>77707.450000000012</v>
          </cell>
          <cell r="E186">
            <v>66202.750000000029</v>
          </cell>
          <cell r="F186">
            <v>70824.289999999979</v>
          </cell>
          <cell r="G186">
            <v>80798.549999999974</v>
          </cell>
          <cell r="H186">
            <v>76264.640000000014</v>
          </cell>
        </row>
        <row r="187">
          <cell r="C187"/>
          <cell r="D187">
            <v>89.92</v>
          </cell>
          <cell r="E187"/>
          <cell r="F187">
            <v>93.84</v>
          </cell>
          <cell r="G187">
            <v>239.02</v>
          </cell>
          <cell r="H187"/>
        </row>
        <row r="188">
          <cell r="C188">
            <v>16986.450000000004</v>
          </cell>
          <cell r="D188">
            <v>25978.430000000004</v>
          </cell>
          <cell r="E188">
            <v>22518.890000000007</v>
          </cell>
          <cell r="F188">
            <v>10693.5</v>
          </cell>
          <cell r="G188">
            <v>19224.150000000001</v>
          </cell>
          <cell r="H188">
            <v>11344.840000000002</v>
          </cell>
        </row>
        <row r="189">
          <cell r="C189">
            <v>40817.600000000013</v>
          </cell>
          <cell r="D189">
            <v>37698.920000000027</v>
          </cell>
          <cell r="E189">
            <v>43548.709999999992</v>
          </cell>
          <cell r="F189">
            <v>34962.680000000008</v>
          </cell>
          <cell r="G189">
            <v>43046.65</v>
          </cell>
          <cell r="H189">
            <v>40699.689999999995</v>
          </cell>
        </row>
        <row r="190">
          <cell r="C190">
            <v>36.800000000000004</v>
          </cell>
          <cell r="D190">
            <v>185.37</v>
          </cell>
          <cell r="E190">
            <v>184.67000000000002</v>
          </cell>
          <cell r="F190">
            <v>139.76</v>
          </cell>
          <cell r="G190"/>
          <cell r="H190">
            <v>303.67</v>
          </cell>
        </row>
        <row r="191">
          <cell r="C191">
            <v>11626.65</v>
          </cell>
          <cell r="D191">
            <v>40.28</v>
          </cell>
          <cell r="E191">
            <v>621.80999999999995</v>
          </cell>
          <cell r="F191">
            <v>221.49</v>
          </cell>
          <cell r="G191">
            <v>88.94</v>
          </cell>
          <cell r="H191">
            <v>41.27</v>
          </cell>
        </row>
        <row r="192">
          <cell r="C192">
            <v>6566.5400000000009</v>
          </cell>
          <cell r="D192">
            <v>1572.31</v>
          </cell>
          <cell r="E192">
            <v>7188.92</v>
          </cell>
          <cell r="F192">
            <v>2092.4700000000007</v>
          </cell>
          <cell r="G192">
            <v>4112.07</v>
          </cell>
          <cell r="H192">
            <v>3428.97</v>
          </cell>
        </row>
        <row r="193">
          <cell r="C193">
            <v>183.17</v>
          </cell>
          <cell r="D193">
            <v>176.64</v>
          </cell>
          <cell r="E193"/>
          <cell r="F193"/>
          <cell r="G193"/>
          <cell r="H193">
            <v>3405.21</v>
          </cell>
        </row>
        <row r="194">
          <cell r="C194"/>
          <cell r="D194">
            <v>458.34000000000003</v>
          </cell>
          <cell r="E194">
            <v>4685.16</v>
          </cell>
          <cell r="F194">
            <v>488.02</v>
          </cell>
          <cell r="G194">
            <v>341.08</v>
          </cell>
          <cell r="H194">
            <v>0</v>
          </cell>
        </row>
        <row r="195">
          <cell r="C195"/>
          <cell r="D195">
            <v>6514.98</v>
          </cell>
          <cell r="E195">
            <v>1048.92</v>
          </cell>
          <cell r="F195">
            <v>669.78</v>
          </cell>
          <cell r="G195">
            <v>5814.73</v>
          </cell>
          <cell r="H195">
            <v>280.12</v>
          </cell>
        </row>
        <row r="196">
          <cell r="C196">
            <v>407.76</v>
          </cell>
          <cell r="D196">
            <v>651.98</v>
          </cell>
          <cell r="E196">
            <v>-5.0000000000000053</v>
          </cell>
          <cell r="F196">
            <v>-26.340000000000003</v>
          </cell>
          <cell r="G196"/>
          <cell r="H196">
            <v>827.30000000000007</v>
          </cell>
        </row>
        <row r="197">
          <cell r="C197">
            <v>7219.07</v>
          </cell>
          <cell r="D197">
            <v>6049.89</v>
          </cell>
          <cell r="E197">
            <v>6481.26</v>
          </cell>
          <cell r="F197">
            <v>9382.41</v>
          </cell>
          <cell r="G197">
            <v>11681.470000000001</v>
          </cell>
          <cell r="H197">
            <v>12949.92</v>
          </cell>
        </row>
        <row r="198">
          <cell r="C198">
            <v>-939.4200000000003</v>
          </cell>
          <cell r="D198">
            <v>3275.94</v>
          </cell>
          <cell r="E198">
            <v>2206.33</v>
          </cell>
          <cell r="F198">
            <v>22510.9</v>
          </cell>
          <cell r="G198">
            <v>3953.74</v>
          </cell>
          <cell r="H198">
            <v>7867.85</v>
          </cell>
        </row>
        <row r="199">
          <cell r="C199">
            <v>91878.500000000029</v>
          </cell>
          <cell r="D199">
            <v>121879.09000000003</v>
          </cell>
          <cell r="E199">
            <v>107089.14999999998</v>
          </cell>
          <cell r="F199">
            <v>114825.07</v>
          </cell>
          <cell r="G199">
            <v>114277.70999999999</v>
          </cell>
          <cell r="H199">
            <v>98163.079999999987</v>
          </cell>
        </row>
        <row r="200">
          <cell r="C200">
            <v>29218.420000000002</v>
          </cell>
          <cell r="D200">
            <v>33171.21</v>
          </cell>
          <cell r="E200">
            <v>42346.360000000008</v>
          </cell>
          <cell r="F200">
            <v>35783.969999999994</v>
          </cell>
          <cell r="G200">
            <v>32199.81</v>
          </cell>
          <cell r="H200">
            <v>22339.380000000008</v>
          </cell>
        </row>
        <row r="201">
          <cell r="C201">
            <v>116325</v>
          </cell>
          <cell r="D201">
            <v>24247</v>
          </cell>
          <cell r="E201">
            <v>19571</v>
          </cell>
          <cell r="F201">
            <v>175706</v>
          </cell>
          <cell r="G201">
            <v>19482</v>
          </cell>
          <cell r="H201">
            <v>19404</v>
          </cell>
        </row>
        <row r="202">
          <cell r="C202">
            <v>13254.63</v>
          </cell>
          <cell r="D202">
            <v>10828.580000000002</v>
          </cell>
          <cell r="E202">
            <v>10459.480000000001</v>
          </cell>
          <cell r="F202">
            <v>9693.25</v>
          </cell>
          <cell r="G202">
            <v>9061</v>
          </cell>
          <cell r="H202">
            <v>11759.7</v>
          </cell>
        </row>
        <row r="203">
          <cell r="C203"/>
          <cell r="D203"/>
          <cell r="E203"/>
          <cell r="F203"/>
          <cell r="G203"/>
          <cell r="H203">
            <v>85</v>
          </cell>
        </row>
        <row r="204">
          <cell r="C204">
            <v>25969.919999999998</v>
          </cell>
          <cell r="D204">
            <v>21692.069999999996</v>
          </cell>
          <cell r="E204">
            <v>23129.510000000002</v>
          </cell>
          <cell r="F204">
            <v>20081</v>
          </cell>
          <cell r="G204">
            <v>20661.920000000002</v>
          </cell>
          <cell r="H204">
            <v>20121.519999999997</v>
          </cell>
        </row>
        <row r="205">
          <cell r="C205">
            <v>4837.5599999999995</v>
          </cell>
          <cell r="D205">
            <v>2654.57</v>
          </cell>
          <cell r="E205">
            <v>3217.8700000000003</v>
          </cell>
          <cell r="F205">
            <v>3010.72</v>
          </cell>
          <cell r="G205">
            <v>5580.03</v>
          </cell>
          <cell r="H205">
            <v>6680.0300000000007</v>
          </cell>
        </row>
        <row r="206">
          <cell r="C206">
            <v>1518.5</v>
          </cell>
          <cell r="D206">
            <v>2316.4</v>
          </cell>
          <cell r="E206">
            <v>2743.6</v>
          </cell>
          <cell r="F206">
            <v>1195.6199999999999</v>
          </cell>
          <cell r="G206">
            <v>1209.0999999999999</v>
          </cell>
          <cell r="H206">
            <v>1707.1799999999998</v>
          </cell>
        </row>
        <row r="207">
          <cell r="C207">
            <v>12707.710000000001</v>
          </cell>
          <cell r="D207">
            <v>12580.02</v>
          </cell>
          <cell r="E207">
            <v>10884.4</v>
          </cell>
          <cell r="F207">
            <v>10341.33</v>
          </cell>
          <cell r="G207">
            <v>11470.779999999999</v>
          </cell>
          <cell r="H207">
            <v>10422.359999999999</v>
          </cell>
        </row>
        <row r="208">
          <cell r="C208">
            <v>2050.1099999999997</v>
          </cell>
          <cell r="D208">
            <v>374.2</v>
          </cell>
          <cell r="E208">
            <v>-50</v>
          </cell>
          <cell r="F208">
            <v>1058.8800000000001</v>
          </cell>
          <cell r="G208">
            <v>784.09</v>
          </cell>
          <cell r="H208">
            <v>291.29999999999995</v>
          </cell>
        </row>
        <row r="209">
          <cell r="C209">
            <v>1048979.1000000001</v>
          </cell>
          <cell r="D209">
            <v>1007781.6000000001</v>
          </cell>
          <cell r="E209">
            <v>1111531.03</v>
          </cell>
          <cell r="F209">
            <v>964157.01</v>
          </cell>
          <cell r="G209">
            <v>1761549.62</v>
          </cell>
          <cell r="H209">
            <v>503333.84</v>
          </cell>
        </row>
        <row r="210">
          <cell r="C210">
            <v>5000</v>
          </cell>
          <cell r="D210">
            <v>16505.96</v>
          </cell>
          <cell r="E210">
            <v>15128</v>
          </cell>
          <cell r="F210">
            <v>26698.15</v>
          </cell>
          <cell r="G210">
            <v>28801.38</v>
          </cell>
          <cell r="H210">
            <v>17583.39</v>
          </cell>
        </row>
        <row r="211">
          <cell r="C211">
            <v>14569.170000000002</v>
          </cell>
          <cell r="D211">
            <v>13795.710000000003</v>
          </cell>
          <cell r="E211">
            <v>13774.810000000001</v>
          </cell>
          <cell r="F211">
            <v>12964.590000000004</v>
          </cell>
          <cell r="G211">
            <v>12827.59</v>
          </cell>
          <cell r="H211">
            <v>12682.93</v>
          </cell>
        </row>
        <row r="212">
          <cell r="C212">
            <v>367.52</v>
          </cell>
          <cell r="D212">
            <v>114712.07</v>
          </cell>
          <cell r="E212">
            <v>4709.7800000000007</v>
          </cell>
          <cell r="F212">
            <v>201.04999999999998</v>
          </cell>
          <cell r="G212">
            <v>4757.2299999999996</v>
          </cell>
          <cell r="H212">
            <v>1613.07</v>
          </cell>
        </row>
        <row r="213">
          <cell r="C213">
            <v>239184.93999999997</v>
          </cell>
          <cell r="D213">
            <v>199130.44000000006</v>
          </cell>
          <cell r="E213">
            <v>190844.51000000013</v>
          </cell>
          <cell r="F213">
            <v>188032.59000000011</v>
          </cell>
          <cell r="G213">
            <v>203542.82999999993</v>
          </cell>
          <cell r="H213">
            <v>165489.6399999999</v>
          </cell>
        </row>
        <row r="214">
          <cell r="C214"/>
          <cell r="D214">
            <v>320.64999999999998</v>
          </cell>
          <cell r="E214"/>
          <cell r="F214"/>
          <cell r="G214"/>
          <cell r="H214"/>
        </row>
        <row r="215">
          <cell r="C215">
            <v>-258.72000000000003</v>
          </cell>
          <cell r="D215"/>
          <cell r="E215">
            <v>4256.79</v>
          </cell>
          <cell r="F215">
            <v>2299.5</v>
          </cell>
          <cell r="G215"/>
          <cell r="H215"/>
        </row>
        <row r="216">
          <cell r="C216">
            <v>2044.4</v>
          </cell>
          <cell r="D216">
            <v>8530</v>
          </cell>
          <cell r="E216">
            <v>350</v>
          </cell>
          <cell r="F216">
            <v>634.18000000000006</v>
          </cell>
          <cell r="G216">
            <v>3425</v>
          </cell>
          <cell r="H216">
            <v>11200</v>
          </cell>
        </row>
        <row r="217">
          <cell r="C217">
            <v>1205.95</v>
          </cell>
          <cell r="D217">
            <v>1218.99</v>
          </cell>
          <cell r="E217">
            <v>1205.95</v>
          </cell>
          <cell r="F217">
            <v>1218.99</v>
          </cell>
          <cell r="G217">
            <v>1269.0899999999999</v>
          </cell>
          <cell r="H217">
            <v>1262.26</v>
          </cell>
        </row>
        <row r="218">
          <cell r="C218"/>
          <cell r="D218"/>
          <cell r="E218"/>
          <cell r="F218">
            <v>1248.08</v>
          </cell>
          <cell r="G218"/>
          <cell r="H218"/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 (3)"/>
      <sheetName val="Div 9 (2)"/>
      <sheetName val="Div 9"/>
      <sheetName val="Div 91"/>
      <sheetName val="Div 2"/>
      <sheetName val="Div 12"/>
      <sheetName val="Div 9 expanded"/>
      <sheetName val="Div 9 gas cost"/>
      <sheetName val="Div 9 Allocations"/>
      <sheetName val="Div 9 Finrep budget"/>
    </sheetNames>
    <sheetDataSet>
      <sheetData sheetId="0"/>
      <sheetData sheetId="1"/>
      <sheetData sheetId="2">
        <row r="29">
          <cell r="I29">
            <v>1578172.95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1712080.32903727</v>
          </cell>
          <cell r="D14">
            <v>1476587.50922046</v>
          </cell>
          <cell r="E14">
            <v>1258160.2353352001</v>
          </cell>
          <cell r="F14">
            <v>1503346.99055836</v>
          </cell>
          <cell r="G14">
            <v>1497842.4439481001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 (2)"/>
      <sheetName val="Div 12 history (2)"/>
      <sheetName val="Div 9 history (2)"/>
      <sheetName val="Div 91 history (2)"/>
      <sheetName val="Div 2 budget"/>
      <sheetName val="Div 12 budget"/>
      <sheetName val="Div 9 budget"/>
      <sheetName val="Div 91 budget"/>
      <sheetName val="incent comp w cap credits"/>
      <sheetName val="final summary"/>
      <sheetName val="adjustment"/>
      <sheetName val="CPI Index"/>
      <sheetName val="Escalation"/>
      <sheetName val="SS Controller 1903"/>
    </sheetNames>
    <sheetDataSet>
      <sheetData sheetId="0"/>
      <sheetData sheetId="1">
        <row r="6">
          <cell r="C6">
            <v>4929596.88</v>
          </cell>
          <cell r="D6">
            <v>4927623.3196000019</v>
          </cell>
        </row>
        <row r="7">
          <cell r="C7">
            <v>2093177.1099999999</v>
          </cell>
          <cell r="D7">
            <v>2114994.1718135523</v>
          </cell>
        </row>
        <row r="10">
          <cell r="C10">
            <v>621710.18000000017</v>
          </cell>
          <cell r="D10">
            <v>564851.23999999987</v>
          </cell>
        </row>
        <row r="22">
          <cell r="C22">
            <v>564321.71039999998</v>
          </cell>
          <cell r="D22">
            <v>313426.18041533593</v>
          </cell>
        </row>
        <row r="25">
          <cell r="C25">
            <v>13577225.559414253</v>
          </cell>
          <cell r="D25">
            <v>12826008.501836389</v>
          </cell>
          <cell r="G25">
            <v>7572350.3072574958</v>
          </cell>
          <cell r="H25">
            <v>7955220.7205533516</v>
          </cell>
          <cell r="K25">
            <v>5497868.7926753415</v>
          </cell>
          <cell r="L25">
            <v>6070056.6056514932</v>
          </cell>
        </row>
      </sheetData>
      <sheetData sheetId="2">
        <row r="55">
          <cell r="F55">
            <v>2620.61</v>
          </cell>
          <cell r="G55">
            <v>7300.21</v>
          </cell>
          <cell r="H55">
            <v>7393.1</v>
          </cell>
          <cell r="I55">
            <v>6393.07</v>
          </cell>
          <cell r="J55">
            <v>6470.88</v>
          </cell>
          <cell r="K55">
            <v>6722.12</v>
          </cell>
          <cell r="L55">
            <v>4327.5906095917062</v>
          </cell>
          <cell r="M55">
            <v>4056.6103414484987</v>
          </cell>
          <cell r="N55">
            <v>4802.3736559049439</v>
          </cell>
          <cell r="O55">
            <v>4765.8559103679954</v>
          </cell>
          <cell r="P55">
            <v>5011.6260900770076</v>
          </cell>
          <cell r="Q55">
            <v>4691.3148956594914</v>
          </cell>
          <cell r="U55">
            <v>4288.677541136467</v>
          </cell>
          <cell r="V55">
            <v>9032.5220632269957</v>
          </cell>
          <cell r="W55">
            <v>2033.0028502239727</v>
          </cell>
          <cell r="X55">
            <v>2028.9875907556993</v>
          </cell>
          <cell r="Y55">
            <v>4056.6103414484987</v>
          </cell>
          <cell r="Z55">
            <v>4802.3736559049439</v>
          </cell>
          <cell r="AA55">
            <v>4765.8559103679954</v>
          </cell>
          <cell r="AB55">
            <v>5011.6260900770076</v>
          </cell>
          <cell r="AC55">
            <v>4691.3148956594914</v>
          </cell>
          <cell r="AD55">
            <v>4553.5567157924843</v>
          </cell>
          <cell r="AE55">
            <v>4307.4463638054176</v>
          </cell>
          <cell r="AF55">
            <v>9557.8096703744832</v>
          </cell>
        </row>
        <row r="226">
          <cell r="F226">
            <v>539774.90999999992</v>
          </cell>
          <cell r="G226">
            <v>479901.35</v>
          </cell>
          <cell r="H226">
            <v>551361.28000000003</v>
          </cell>
          <cell r="I226">
            <v>898065.49999999988</v>
          </cell>
          <cell r="J226">
            <v>629067.21000000008</v>
          </cell>
          <cell r="K226">
            <v>670473.25</v>
          </cell>
          <cell r="L226">
            <v>647915.20949338551</v>
          </cell>
          <cell r="M226">
            <v>707912.88539805426</v>
          </cell>
          <cell r="N226">
            <v>713046.74591790768</v>
          </cell>
          <cell r="O226">
            <v>711282.73415729334</v>
          </cell>
          <cell r="P226">
            <v>743511.69563979353</v>
          </cell>
          <cell r="Q226">
            <v>718491.41069988196</v>
          </cell>
          <cell r="U226">
            <v>724598.16600353352</v>
          </cell>
          <cell r="V226">
            <v>701931.69406477641</v>
          </cell>
          <cell r="W226">
            <v>701930.10819389229</v>
          </cell>
          <cell r="X226">
            <v>756850.07609497488</v>
          </cell>
          <cell r="Y226">
            <v>707912.88539805426</v>
          </cell>
          <cell r="Z226">
            <v>713046.74591790768</v>
          </cell>
          <cell r="AA226">
            <v>711282.73415729334</v>
          </cell>
          <cell r="AB226">
            <v>743511.69563979353</v>
          </cell>
          <cell r="AC226">
            <v>718491.41069988196</v>
          </cell>
          <cell r="AD226">
            <v>788648.95890890714</v>
          </cell>
          <cell r="AE226">
            <v>713460.21417483455</v>
          </cell>
          <cell r="AF226">
            <v>697592.76718433353</v>
          </cell>
        </row>
        <row r="232">
          <cell r="F232">
            <v>8163.67</v>
          </cell>
          <cell r="G232">
            <v>756.85</v>
          </cell>
          <cell r="H232">
            <v>4623.2</v>
          </cell>
          <cell r="I232">
            <v>3134</v>
          </cell>
          <cell r="J232">
            <v>2821.5</v>
          </cell>
          <cell r="K232">
            <v>11531.98</v>
          </cell>
          <cell r="L232">
            <v>5334.9664007304336</v>
          </cell>
          <cell r="M232">
            <v>5828.9902797555933</v>
          </cell>
          <cell r="N232">
            <v>5871.2627453161267</v>
          </cell>
          <cell r="O232">
            <v>5856.7377838157954</v>
          </cell>
          <cell r="P232">
            <v>6122.1126725670811</v>
          </cell>
          <cell r="Q232">
            <v>5916.0943887927251</v>
          </cell>
          <cell r="U232">
            <v>5966.3777189030616</v>
          </cell>
          <cell r="V232">
            <v>5779.74084968846</v>
          </cell>
          <cell r="W232">
            <v>5779.7277915478899</v>
          </cell>
          <cell r="X232">
            <v>6231.941567653821</v>
          </cell>
          <cell r="Y232">
            <v>5828.9902797555933</v>
          </cell>
          <cell r="Z232">
            <v>5871.2627453161267</v>
          </cell>
          <cell r="AA232">
            <v>5856.7377838157954</v>
          </cell>
          <cell r="AB232">
            <v>6122.1126725670811</v>
          </cell>
          <cell r="AC232">
            <v>5916.0943887927251</v>
          </cell>
          <cell r="AD232">
            <v>6493.7751670313419</v>
          </cell>
          <cell r="AE232">
            <v>5874.6672637255624</v>
          </cell>
          <cell r="AF232">
            <v>5744.0139076700907</v>
          </cell>
        </row>
        <row r="251">
          <cell r="D251">
            <v>8140</v>
          </cell>
          <cell r="E251"/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D252">
            <v>8150</v>
          </cell>
          <cell r="E252"/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</row>
        <row r="253">
          <cell r="D253">
            <v>8160</v>
          </cell>
          <cell r="E253"/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D254">
            <v>8170</v>
          </cell>
          <cell r="E254"/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D255">
            <v>8180</v>
          </cell>
          <cell r="E255"/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D256">
            <v>8190</v>
          </cell>
          <cell r="E256"/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D257">
            <v>8200</v>
          </cell>
          <cell r="E257"/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D258">
            <v>8210</v>
          </cell>
          <cell r="E258"/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D259">
            <v>8240</v>
          </cell>
          <cell r="E259"/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D260">
            <v>8250</v>
          </cell>
          <cell r="E260"/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D261">
            <v>8310</v>
          </cell>
          <cell r="E261"/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D262">
            <v>8320</v>
          </cell>
          <cell r="E262"/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D263">
            <v>8340</v>
          </cell>
          <cell r="E263"/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D264">
            <v>8350</v>
          </cell>
          <cell r="E264"/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D265">
            <v>8360</v>
          </cell>
          <cell r="E265"/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D266">
            <v>8400</v>
          </cell>
          <cell r="E266"/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D267">
            <v>8410</v>
          </cell>
          <cell r="E267"/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D268">
            <v>8470</v>
          </cell>
          <cell r="E268"/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D269">
            <v>8500</v>
          </cell>
          <cell r="E269"/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D270">
            <v>8560</v>
          </cell>
          <cell r="E270"/>
          <cell r="F270">
            <v>0</v>
          </cell>
          <cell r="G270">
            <v>555.20000000000005</v>
          </cell>
          <cell r="H270">
            <v>-229.90999999999985</v>
          </cell>
          <cell r="I270">
            <v>68.740000000000009</v>
          </cell>
          <cell r="J270">
            <v>46.490000000000009</v>
          </cell>
          <cell r="K270">
            <v>109.21000000000002</v>
          </cell>
          <cell r="L270">
            <v>168.31319621331158</v>
          </cell>
          <cell r="M270">
            <v>123.06347623187116</v>
          </cell>
          <cell r="N270">
            <v>122.62178395601271</v>
          </cell>
          <cell r="O270">
            <v>122.71190675555241</v>
          </cell>
          <cell r="P270">
            <v>123.01439310108097</v>
          </cell>
          <cell r="Q270">
            <v>120.80237128735922</v>
          </cell>
          <cell r="R270">
            <v>128.99419628313569</v>
          </cell>
          <cell r="S270">
            <v>126.21170339749405</v>
          </cell>
          <cell r="T270">
            <v>131.53219854697522</v>
          </cell>
          <cell r="U270">
            <v>132.16457106038354</v>
          </cell>
          <cell r="V270">
            <v>128.57804441938214</v>
          </cell>
          <cell r="W270">
            <v>122.57113133721124</v>
          </cell>
          <cell r="X270">
            <v>148.16642130940477</v>
          </cell>
          <cell r="Y270">
            <v>122.70147244400397</v>
          </cell>
          <cell r="Z270">
            <v>122.27621174934953</v>
          </cell>
          <cell r="AA270">
            <v>122.33347139157158</v>
          </cell>
          <cell r="AB270">
            <v>122.66882089441779</v>
          </cell>
          <cell r="AC270">
            <v>120.45679908069604</v>
          </cell>
          <cell r="AD270">
            <v>128.61576091915487</v>
          </cell>
          <cell r="AE270">
            <v>125.86613119083087</v>
          </cell>
          <cell r="AF270">
            <v>131.17019475910803</v>
          </cell>
        </row>
        <row r="271">
          <cell r="D271">
            <v>8570</v>
          </cell>
          <cell r="E271"/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D272">
            <v>8580</v>
          </cell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D273">
            <v>8590</v>
          </cell>
          <cell r="E273"/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D274">
            <v>8600</v>
          </cell>
          <cell r="E274"/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D275">
            <v>8620</v>
          </cell>
          <cell r="E275"/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D276">
            <v>8630</v>
          </cell>
          <cell r="E276"/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D277">
            <v>8640</v>
          </cell>
          <cell r="E277"/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D278">
            <v>8650</v>
          </cell>
          <cell r="E278"/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D279">
            <v>8670</v>
          </cell>
          <cell r="E279"/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D280">
            <v>8700</v>
          </cell>
          <cell r="E280"/>
          <cell r="F280">
            <v>12344.87</v>
          </cell>
          <cell r="G280">
            <v>6006.14</v>
          </cell>
          <cell r="H280">
            <v>774.11</v>
          </cell>
          <cell r="I280">
            <v>150.88999999999999</v>
          </cell>
          <cell r="J280">
            <v>10189.64</v>
          </cell>
          <cell r="K280">
            <v>610.85999999999922</v>
          </cell>
          <cell r="L280">
            <v>9128.2736625265643</v>
          </cell>
          <cell r="M280">
            <v>6766.933543372952</v>
          </cell>
          <cell r="N280">
            <v>6715.9367995305147</v>
          </cell>
          <cell r="O280">
            <v>6769.975187592192</v>
          </cell>
          <cell r="P280">
            <v>6729.2783453771772</v>
          </cell>
          <cell r="Q280">
            <v>6614.7658270827824</v>
          </cell>
          <cell r="R280">
            <v>7094.5778631531766</v>
          </cell>
          <cell r="S280">
            <v>6893.1911820176001</v>
          </cell>
          <cell r="T280">
            <v>7181.5329932835175</v>
          </cell>
          <cell r="U280">
            <v>7216.8906544269248</v>
          </cell>
          <cell r="V280">
            <v>7055.8635746763384</v>
          </cell>
          <cell r="W280">
            <v>6750.4674277749673</v>
          </cell>
          <cell r="X280">
            <v>8021.6034841347855</v>
          </cell>
          <cell r="Y280">
            <v>6767.7717112449045</v>
          </cell>
          <cell r="Z280">
            <v>6716.7369224319154</v>
          </cell>
          <cell r="AA280">
            <v>6770.8514004229164</v>
          </cell>
          <cell r="AB280">
            <v>6730.0784682785779</v>
          </cell>
          <cell r="AC280">
            <v>6615.5659499841831</v>
          </cell>
          <cell r="AD280">
            <v>7095.454075983901</v>
          </cell>
          <cell r="AE280">
            <v>6893.9913049190009</v>
          </cell>
          <cell r="AF280">
            <v>7182.37116115547</v>
          </cell>
        </row>
        <row r="281">
          <cell r="D281">
            <v>8710</v>
          </cell>
          <cell r="E281"/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D282">
            <v>8711</v>
          </cell>
          <cell r="E282"/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D283">
            <v>8720</v>
          </cell>
          <cell r="E283"/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D284">
            <v>8740</v>
          </cell>
          <cell r="E284"/>
          <cell r="F284">
            <v>13304.419999999998</v>
          </cell>
          <cell r="G284">
            <v>2002.2000000000007</v>
          </cell>
          <cell r="H284">
            <v>9281.380000000001</v>
          </cell>
          <cell r="I284">
            <v>11402.99</v>
          </cell>
          <cell r="J284">
            <v>-1564.7399999999993</v>
          </cell>
          <cell r="K284">
            <v>10023.68</v>
          </cell>
          <cell r="L284">
            <v>9151.0828101670031</v>
          </cell>
          <cell r="M284">
            <v>15469.342759910836</v>
          </cell>
          <cell r="N284">
            <v>10016.69123909631</v>
          </cell>
          <cell r="O284">
            <v>9675.9005190454009</v>
          </cell>
          <cell r="P284">
            <v>9846.2958790708544</v>
          </cell>
          <cell r="Q284">
            <v>9675.9005190454009</v>
          </cell>
          <cell r="R284">
            <v>11919.155433780505</v>
          </cell>
          <cell r="S284">
            <v>9965.5726310886748</v>
          </cell>
          <cell r="T284">
            <v>9675.9005190454009</v>
          </cell>
          <cell r="U284">
            <v>9675.9005190454009</v>
          </cell>
          <cell r="V284">
            <v>9675.9005190454009</v>
          </cell>
          <cell r="W284">
            <v>11379.85411929994</v>
          </cell>
          <cell r="X284">
            <v>9686.12424064693</v>
          </cell>
          <cell r="Y284">
            <v>15469.342759910836</v>
          </cell>
          <cell r="Z284">
            <v>10016.69123909631</v>
          </cell>
          <cell r="AA284">
            <v>9675.9005190454009</v>
          </cell>
          <cell r="AB284">
            <v>9846.2958790708544</v>
          </cell>
          <cell r="AC284">
            <v>9675.9005190454009</v>
          </cell>
          <cell r="AD284">
            <v>11919.155433780505</v>
          </cell>
          <cell r="AE284">
            <v>9965.5726310886748</v>
          </cell>
          <cell r="AF284">
            <v>9675.9005190454009</v>
          </cell>
        </row>
        <row r="285">
          <cell r="D285">
            <v>8750</v>
          </cell>
          <cell r="E285"/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D286">
            <v>8760</v>
          </cell>
          <cell r="E286"/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D287">
            <v>8770</v>
          </cell>
          <cell r="E287"/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D288">
            <v>8780</v>
          </cell>
          <cell r="E288"/>
          <cell r="F288">
            <v>-1002.23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-183.15515685144194</v>
          </cell>
          <cell r="M288">
            <v>-191.26525189209588</v>
          </cell>
          <cell r="N288">
            <v>-182.5836009721601</v>
          </cell>
          <cell r="O288">
            <v>-199.94690012243532</v>
          </cell>
          <cell r="P288">
            <v>-182.5836009721601</v>
          </cell>
          <cell r="Q288">
            <v>-182.5836009721601</v>
          </cell>
          <cell r="R288">
            <v>-199.94690012243532</v>
          </cell>
          <cell r="S288">
            <v>-182.5836009721601</v>
          </cell>
          <cell r="T288">
            <v>-191.26525189209588</v>
          </cell>
          <cell r="U288">
            <v>-191.26525189209588</v>
          </cell>
          <cell r="V288">
            <v>-182.5836009721601</v>
          </cell>
          <cell r="W288">
            <v>-199.94690012243532</v>
          </cell>
          <cell r="X288">
            <v>-191.26525189209588</v>
          </cell>
          <cell r="Y288">
            <v>-197.00320944885877</v>
          </cell>
          <cell r="Z288">
            <v>-188.06110900132489</v>
          </cell>
          <cell r="AA288">
            <v>-205.94530712610836</v>
          </cell>
          <cell r="AB288">
            <v>-188.06110900132489</v>
          </cell>
          <cell r="AC288">
            <v>-188.06110900132489</v>
          </cell>
          <cell r="AD288">
            <v>-205.94530712610836</v>
          </cell>
          <cell r="AE288">
            <v>-188.06110900132489</v>
          </cell>
          <cell r="AF288">
            <v>-197.00320944885877</v>
          </cell>
        </row>
        <row r="289">
          <cell r="D289">
            <v>8790</v>
          </cell>
          <cell r="E289"/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D290">
            <v>8800</v>
          </cell>
          <cell r="E290"/>
          <cell r="F290">
            <v>0</v>
          </cell>
          <cell r="G290">
            <v>10.81</v>
          </cell>
          <cell r="H290">
            <v>0</v>
          </cell>
          <cell r="I290">
            <v>517.41999999999996</v>
          </cell>
          <cell r="J290">
            <v>40.46</v>
          </cell>
          <cell r="K290">
            <v>0</v>
          </cell>
          <cell r="L290">
            <v>105.17845499409778</v>
          </cell>
          <cell r="M290">
            <v>128.00565495706439</v>
          </cell>
          <cell r="N290">
            <v>126.77645120510485</v>
          </cell>
          <cell r="O290">
            <v>127.27927466961505</v>
          </cell>
          <cell r="P290">
            <v>127.52789267664555</v>
          </cell>
          <cell r="Q290">
            <v>127.46308027125565</v>
          </cell>
          <cell r="R290">
            <v>126.75908171286471</v>
          </cell>
          <cell r="S290">
            <v>127.59860156496104</v>
          </cell>
          <cell r="T290">
            <v>127.33107697061385</v>
          </cell>
          <cell r="U290">
            <v>126.84081980758423</v>
          </cell>
          <cell r="V290">
            <v>127.45403196283867</v>
          </cell>
          <cell r="W290">
            <v>128.51904954129412</v>
          </cell>
          <cell r="X290">
            <v>126.50642477748072</v>
          </cell>
          <cell r="Y290">
            <v>128.00565495706439</v>
          </cell>
          <cell r="Z290">
            <v>126.77645120510485</v>
          </cell>
          <cell r="AA290">
            <v>127.27927466961505</v>
          </cell>
          <cell r="AB290">
            <v>127.52789267664555</v>
          </cell>
          <cell r="AC290">
            <v>127.46308027125565</v>
          </cell>
          <cell r="AD290">
            <v>126.75908171286471</v>
          </cell>
          <cell r="AE290">
            <v>127.59860156496104</v>
          </cell>
          <cell r="AF290">
            <v>127.33107697061385</v>
          </cell>
        </row>
        <row r="291">
          <cell r="D291">
            <v>8810</v>
          </cell>
          <cell r="E291"/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D292">
            <v>8850</v>
          </cell>
          <cell r="E292"/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8860</v>
          </cell>
          <cell r="E293"/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8870</v>
          </cell>
          <cell r="E294"/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8890</v>
          </cell>
          <cell r="E295"/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8900</v>
          </cell>
          <cell r="E296"/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8910</v>
          </cell>
          <cell r="E297"/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D298">
            <v>8920</v>
          </cell>
          <cell r="E298"/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8930</v>
          </cell>
          <cell r="E299"/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8940</v>
          </cell>
          <cell r="E300"/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8950</v>
          </cell>
          <cell r="E301"/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D302">
            <v>9010</v>
          </cell>
          <cell r="E302"/>
          <cell r="F302">
            <v>0</v>
          </cell>
          <cell r="G302">
            <v>499.76</v>
          </cell>
          <cell r="H302">
            <v>7088.05</v>
          </cell>
          <cell r="I302">
            <v>153.49</v>
          </cell>
          <cell r="J302">
            <v>361.78999999999996</v>
          </cell>
          <cell r="K302">
            <v>0</v>
          </cell>
          <cell r="L302">
            <v>1612.4489369719408</v>
          </cell>
          <cell r="M302">
            <v>1816.0056321022</v>
          </cell>
          <cell r="N302">
            <v>1798.6389711831266</v>
          </cell>
          <cell r="O302">
            <v>1806.4707035416932</v>
          </cell>
          <cell r="P302">
            <v>1806.890193833412</v>
          </cell>
          <cell r="Q302">
            <v>1803.8278839385414</v>
          </cell>
          <cell r="R302">
            <v>1811.3668513518169</v>
          </cell>
          <cell r="S302">
            <v>1815.5866514246984</v>
          </cell>
          <cell r="T302">
            <v>1822.557889472728</v>
          </cell>
          <cell r="U302">
            <v>1818.0497803416488</v>
          </cell>
          <cell r="V302">
            <v>1818.024815922169</v>
          </cell>
          <cell r="W302">
            <v>1822.2808904361641</v>
          </cell>
          <cell r="X302">
            <v>1842.9624528821466</v>
          </cell>
          <cell r="Y302">
            <v>1816.0056321022</v>
          </cell>
          <cell r="Z302">
            <v>1798.6389711831266</v>
          </cell>
          <cell r="AA302">
            <v>1806.4707035416932</v>
          </cell>
          <cell r="AB302">
            <v>1806.890193833412</v>
          </cell>
          <cell r="AC302">
            <v>1803.8278839385414</v>
          </cell>
          <cell r="AD302">
            <v>1811.3668513518169</v>
          </cell>
          <cell r="AE302">
            <v>1815.5866514246984</v>
          </cell>
          <cell r="AF302">
            <v>1822.557889472728</v>
          </cell>
        </row>
        <row r="303">
          <cell r="D303">
            <v>9020</v>
          </cell>
          <cell r="E303"/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</row>
        <row r="304">
          <cell r="D304">
            <v>9030</v>
          </cell>
          <cell r="E304"/>
          <cell r="F304">
            <v>3706.32</v>
          </cell>
          <cell r="G304">
            <v>3706.32</v>
          </cell>
          <cell r="H304">
            <v>3537.8300000000004</v>
          </cell>
          <cell r="I304">
            <v>3706.31</v>
          </cell>
          <cell r="J304">
            <v>3874.81</v>
          </cell>
          <cell r="K304">
            <v>3537.84</v>
          </cell>
          <cell r="L304">
            <v>4033.1360199474348</v>
          </cell>
          <cell r="M304">
            <v>4211.7229458956299</v>
          </cell>
          <cell r="N304">
            <v>4020.5501739151878</v>
          </cell>
          <cell r="O304">
            <v>4402.8956586502864</v>
          </cell>
          <cell r="P304">
            <v>4020.5501739151878</v>
          </cell>
          <cell r="Q304">
            <v>4020.5501739151878</v>
          </cell>
          <cell r="R304">
            <v>4402.8956586502864</v>
          </cell>
          <cell r="S304">
            <v>4020.5501739151878</v>
          </cell>
          <cell r="T304">
            <v>4211.7229458956299</v>
          </cell>
          <cell r="U304">
            <v>4211.7229458956299</v>
          </cell>
          <cell r="V304">
            <v>4020.5501739151878</v>
          </cell>
          <cell r="W304">
            <v>4402.8956586502864</v>
          </cell>
          <cell r="X304">
            <v>4211.7229458956299</v>
          </cell>
          <cell r="Y304">
            <v>4338.0746342724988</v>
          </cell>
          <cell r="Z304">
            <v>4141.1666791326425</v>
          </cell>
          <cell r="AA304">
            <v>4534.9825284097951</v>
          </cell>
          <cell r="AB304">
            <v>4141.1666791326425</v>
          </cell>
          <cell r="AC304">
            <v>4141.1666791326425</v>
          </cell>
          <cell r="AD304">
            <v>4534.9825284097951</v>
          </cell>
          <cell r="AE304">
            <v>4141.1666791326425</v>
          </cell>
          <cell r="AF304">
            <v>4338.0746342724988</v>
          </cell>
        </row>
        <row r="305">
          <cell r="D305">
            <v>9040</v>
          </cell>
          <cell r="E305"/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9070</v>
          </cell>
          <cell r="E306"/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9080</v>
          </cell>
          <cell r="E307"/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9090</v>
          </cell>
          <cell r="E308"/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D309">
            <v>9100</v>
          </cell>
          <cell r="E309"/>
          <cell r="F309">
            <v>446.95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82.164237684428073</v>
          </cell>
          <cell r="M309">
            <v>100.42954386998044</v>
          </cell>
          <cell r="N309">
            <v>99.43368315400258</v>
          </cell>
          <cell r="O309">
            <v>99.796253803023646</v>
          </cell>
          <cell r="P309">
            <v>99.915902117200588</v>
          </cell>
          <cell r="Q309">
            <v>99.978747696364238</v>
          </cell>
          <cell r="R309">
            <v>99.374463281329128</v>
          </cell>
          <cell r="S309">
            <v>100.09839601054119</v>
          </cell>
          <cell r="T309">
            <v>99.857890813357216</v>
          </cell>
          <cell r="U309">
            <v>99.49532016433615</v>
          </cell>
          <cell r="V309">
            <v>99.977539127534172</v>
          </cell>
          <cell r="W309">
            <v>100.82474587741339</v>
          </cell>
          <cell r="X309">
            <v>99.217349333420003</v>
          </cell>
          <cell r="Y309">
            <v>100.42954386998044</v>
          </cell>
          <cell r="Z309">
            <v>99.43368315400258</v>
          </cell>
          <cell r="AA309">
            <v>99.796253803023646</v>
          </cell>
          <cell r="AB309">
            <v>99.915902117200588</v>
          </cell>
          <cell r="AC309">
            <v>99.978747696364238</v>
          </cell>
          <cell r="AD309">
            <v>99.374463281329128</v>
          </cell>
          <cell r="AE309">
            <v>100.09839601054119</v>
          </cell>
          <cell r="AF309">
            <v>99.857890813357216</v>
          </cell>
        </row>
        <row r="310">
          <cell r="D310">
            <v>9110</v>
          </cell>
          <cell r="E310"/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D311">
            <v>9120</v>
          </cell>
          <cell r="E311"/>
          <cell r="F311">
            <v>0</v>
          </cell>
          <cell r="G311">
            <v>0</v>
          </cell>
          <cell r="H311">
            <v>399.75</v>
          </cell>
          <cell r="I311">
            <v>0</v>
          </cell>
          <cell r="J311">
            <v>275</v>
          </cell>
          <cell r="K311">
            <v>2244.69</v>
          </cell>
          <cell r="L311">
            <v>871.21280327120689</v>
          </cell>
          <cell r="M311">
            <v>485.23598045316345</v>
          </cell>
          <cell r="N311">
            <v>408.91632937167833</v>
          </cell>
          <cell r="O311">
            <v>372.2828968525655</v>
          </cell>
          <cell r="P311">
            <v>469.53593794497226</v>
          </cell>
          <cell r="Q311">
            <v>372.2828968525655</v>
          </cell>
          <cell r="R311">
            <v>419.38302437713912</v>
          </cell>
          <cell r="S311">
            <v>448.60254793405056</v>
          </cell>
          <cell r="T311">
            <v>372.2828968525655</v>
          </cell>
          <cell r="U311">
            <v>372.2828968525655</v>
          </cell>
          <cell r="V311">
            <v>448.60254793405056</v>
          </cell>
          <cell r="W311">
            <v>372.2828968525655</v>
          </cell>
          <cell r="X311">
            <v>419.17369047702994</v>
          </cell>
          <cell r="Y311">
            <v>485.23598045316345</v>
          </cell>
          <cell r="Z311">
            <v>408.91632937167833</v>
          </cell>
          <cell r="AA311">
            <v>372.2828968525655</v>
          </cell>
          <cell r="AB311">
            <v>469.53593794497226</v>
          </cell>
          <cell r="AC311">
            <v>372.2828968525655</v>
          </cell>
          <cell r="AD311">
            <v>419.38302437713912</v>
          </cell>
          <cell r="AE311">
            <v>448.60254793405056</v>
          </cell>
          <cell r="AF311">
            <v>372.2828968525655</v>
          </cell>
        </row>
        <row r="312">
          <cell r="D312">
            <v>9130</v>
          </cell>
          <cell r="E312"/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9160</v>
          </cell>
          <cell r="E313"/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</row>
        <row r="314">
          <cell r="D314">
            <v>9200</v>
          </cell>
          <cell r="E314"/>
          <cell r="F314">
            <v>-1579484.3399999999</v>
          </cell>
          <cell r="G314">
            <v>-1201722.1800000006</v>
          </cell>
          <cell r="H314">
            <v>-261629.64999999944</v>
          </cell>
          <cell r="I314">
            <v>-2885600.439999999</v>
          </cell>
          <cell r="J314">
            <v>-5481318.5499999998</v>
          </cell>
          <cell r="K314">
            <v>-4808653.82</v>
          </cell>
          <cell r="L314">
            <v>-1980907.0907567763</v>
          </cell>
          <cell r="M314">
            <v>-1219679.8223755257</v>
          </cell>
          <cell r="N314">
            <v>-1705914.9405951253</v>
          </cell>
          <cell r="O314">
            <v>-1183538.6646098779</v>
          </cell>
          <cell r="P314">
            <v>-2255233.3904868658</v>
          </cell>
          <cell r="Q314">
            <v>-2717546.9778292608</v>
          </cell>
          <cell r="R314">
            <v>-1838653.9719486777</v>
          </cell>
          <cell r="S314">
            <v>-1680567.7310982174</v>
          </cell>
          <cell r="T314">
            <v>-1619943.0856899475</v>
          </cell>
          <cell r="U314">
            <v>-1563167.9948953441</v>
          </cell>
          <cell r="V314">
            <v>-1418855.495537546</v>
          </cell>
          <cell r="W314">
            <v>-1502303.3326061424</v>
          </cell>
          <cell r="X314">
            <v>-1381389.4047113564</v>
          </cell>
          <cell r="Y314">
            <v>-1113131.415870429</v>
          </cell>
          <cell r="Z314">
            <v>-1604202.8337430083</v>
          </cell>
          <cell r="AA314">
            <v>-1072153.9599500997</v>
          </cell>
          <cell r="AB314">
            <v>-2153521.2836347488</v>
          </cell>
          <cell r="AC314">
            <v>-2615834.8709771438</v>
          </cell>
          <cell r="AD314">
            <v>-1727269.2672888995</v>
          </cell>
          <cell r="AE314">
            <v>-1578855.6242461004</v>
          </cell>
          <cell r="AF314">
            <v>-1513394.6791848508</v>
          </cell>
        </row>
        <row r="315">
          <cell r="D315">
            <v>9210</v>
          </cell>
          <cell r="E315"/>
          <cell r="F315">
            <v>1249144.02</v>
          </cell>
          <cell r="G315">
            <v>1505038.1900000002</v>
          </cell>
          <cell r="H315">
            <v>1602763.9200000002</v>
          </cell>
          <cell r="I315">
            <v>1774936.2399999998</v>
          </cell>
          <cell r="J315">
            <v>1683390.9000000001</v>
          </cell>
          <cell r="K315">
            <v>1837310.1599999997</v>
          </cell>
          <cell r="L315">
            <v>2076217.4855367215</v>
          </cell>
          <cell r="M315">
            <v>2380748.2612314536</v>
          </cell>
          <cell r="N315">
            <v>2078660.7962752618</v>
          </cell>
          <cell r="O315">
            <v>2124420.4122857205</v>
          </cell>
          <cell r="P315">
            <v>2078153.2489235678</v>
          </cell>
          <cell r="Q315">
            <v>2006137.509979483</v>
          </cell>
          <cell r="R315">
            <v>2112071.8700334895</v>
          </cell>
          <cell r="S315">
            <v>2132957.8868935467</v>
          </cell>
          <cell r="T315">
            <v>2115903.5512137339</v>
          </cell>
          <cell r="U315">
            <v>2086488.3420470534</v>
          </cell>
          <cell r="V315">
            <v>2231429.8846325148</v>
          </cell>
          <cell r="W315">
            <v>2018341.3572829941</v>
          </cell>
          <cell r="X315">
            <v>2105913.7120127808</v>
          </cell>
          <cell r="Y315">
            <v>2380748.2612314536</v>
          </cell>
          <cell r="Z315">
            <v>2078660.7962752618</v>
          </cell>
          <cell r="AA315">
            <v>2124420.4122857205</v>
          </cell>
          <cell r="AB315">
            <v>2078153.2489235678</v>
          </cell>
          <cell r="AC315">
            <v>2006137.509979483</v>
          </cell>
          <cell r="AD315">
            <v>2112071.8700334895</v>
          </cell>
          <cell r="AE315">
            <v>2132957.8868935467</v>
          </cell>
          <cell r="AF315">
            <v>2115903.5512137339</v>
          </cell>
        </row>
        <row r="316">
          <cell r="D316">
            <v>9220</v>
          </cell>
          <cell r="E316"/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</row>
        <row r="317">
          <cell r="D317">
            <v>9230</v>
          </cell>
          <cell r="E317"/>
          <cell r="F317">
            <v>554634.34</v>
          </cell>
          <cell r="G317">
            <v>481432.66999999993</v>
          </cell>
          <cell r="H317">
            <v>555984.48</v>
          </cell>
          <cell r="I317">
            <v>917907.61999999988</v>
          </cell>
          <cell r="J317">
            <v>627190.75000000012</v>
          </cell>
          <cell r="K317">
            <v>682005.23</v>
          </cell>
          <cell r="L317">
            <v>654546.32514122978</v>
          </cell>
          <cell r="M317">
            <v>715272.8963810174</v>
          </cell>
          <cell r="N317">
            <v>720222.0182598806</v>
          </cell>
          <cell r="O317">
            <v>718597.5701347359</v>
          </cell>
          <cell r="P317">
            <v>751307.12012409198</v>
          </cell>
          <cell r="Q317">
            <v>725693.5811876629</v>
          </cell>
          <cell r="R317">
            <v>797086.51095084543</v>
          </cell>
          <cell r="S317">
            <v>721253.46122361382</v>
          </cell>
          <cell r="T317">
            <v>704910.787809656</v>
          </cell>
          <cell r="U317">
            <v>732163.27547375811</v>
          </cell>
          <cell r="V317">
            <v>712664.65549175325</v>
          </cell>
          <cell r="W317">
            <v>709032.69995414885</v>
          </cell>
          <cell r="X317">
            <v>764731.16092301405</v>
          </cell>
          <cell r="Y317">
            <v>715272.8963810174</v>
          </cell>
          <cell r="Z317">
            <v>720222.0182598806</v>
          </cell>
          <cell r="AA317">
            <v>718597.5701347359</v>
          </cell>
          <cell r="AB317">
            <v>751307.12012409198</v>
          </cell>
          <cell r="AC317">
            <v>725693.5811876629</v>
          </cell>
          <cell r="AD317">
            <v>797086.51095084543</v>
          </cell>
          <cell r="AE317">
            <v>721253.46122361382</v>
          </cell>
          <cell r="AF317">
            <v>704910.787809656</v>
          </cell>
        </row>
        <row r="318">
          <cell r="D318">
            <v>9240</v>
          </cell>
          <cell r="E318"/>
          <cell r="F318">
            <v>13536.98</v>
          </cell>
          <cell r="G318">
            <v>13536.98</v>
          </cell>
          <cell r="H318">
            <v>13536.98</v>
          </cell>
          <cell r="I318">
            <v>13536.98</v>
          </cell>
          <cell r="J318">
            <v>13615.279999999999</v>
          </cell>
          <cell r="K318">
            <v>13543.439999999999</v>
          </cell>
          <cell r="L318">
            <v>13835.200289422799</v>
          </cell>
          <cell r="M318">
            <v>14784.389220745794</v>
          </cell>
          <cell r="N318">
            <v>14983.287925004443</v>
          </cell>
          <cell r="O318">
            <v>14983.35668322843</v>
          </cell>
          <cell r="P318">
            <v>14983.379373442345</v>
          </cell>
          <cell r="Q318">
            <v>14983.391291534504</v>
          </cell>
          <cell r="R318">
            <v>14998.091452836521</v>
          </cell>
          <cell r="S318">
            <v>14998.228740090415</v>
          </cell>
          <cell r="T318">
            <v>14998.174364339307</v>
          </cell>
          <cell r="U318">
            <v>14998.105606115321</v>
          </cell>
          <cell r="V318">
            <v>14998.197054553224</v>
          </cell>
          <cell r="W318">
            <v>14998.357719603273</v>
          </cell>
          <cell r="X318">
            <v>14998.052891476931</v>
          </cell>
          <cell r="Y318">
            <v>14784.389220745794</v>
          </cell>
          <cell r="Z318">
            <v>14983.287925004443</v>
          </cell>
          <cell r="AA318">
            <v>14983.35668322843</v>
          </cell>
          <cell r="AB318">
            <v>14983.379373442345</v>
          </cell>
          <cell r="AC318">
            <v>14983.391291534504</v>
          </cell>
          <cell r="AD318">
            <v>14998.091452836521</v>
          </cell>
          <cell r="AE318">
            <v>14998.228740090415</v>
          </cell>
          <cell r="AF318">
            <v>14998.174364339307</v>
          </cell>
        </row>
        <row r="319">
          <cell r="D319">
            <v>9250</v>
          </cell>
          <cell r="E319"/>
          <cell r="F319">
            <v>1556099.5799999998</v>
          </cell>
          <cell r="G319">
            <v>514911.73999999987</v>
          </cell>
          <cell r="H319">
            <v>557022.37999999989</v>
          </cell>
          <cell r="I319">
            <v>1557218.5799999998</v>
          </cell>
          <cell r="J319">
            <v>1560234.16</v>
          </cell>
          <cell r="K319">
            <v>1644852.8399999999</v>
          </cell>
          <cell r="L319">
            <v>1598700.0504240855</v>
          </cell>
          <cell r="M319">
            <v>1705929.2714354382</v>
          </cell>
          <cell r="N319">
            <v>1726834.3294408235</v>
          </cell>
          <cell r="O319">
            <v>1730047.6870852425</v>
          </cell>
          <cell r="P319">
            <v>1726834.3294408235</v>
          </cell>
          <cell r="Q319">
            <v>1726834.3294408235</v>
          </cell>
          <cell r="R319">
            <v>1731722.8593765991</v>
          </cell>
          <cell r="S319">
            <v>1728509.5017321799</v>
          </cell>
          <cell r="T319">
            <v>1730115.1909082762</v>
          </cell>
          <cell r="U319">
            <v>1730115.1909082762</v>
          </cell>
          <cell r="V319">
            <v>1728508.5105059722</v>
          </cell>
          <cell r="W319">
            <v>1731721.8681503912</v>
          </cell>
          <cell r="X319">
            <v>1730115.075992306</v>
          </cell>
          <cell r="Y319">
            <v>1708578.7463751642</v>
          </cell>
          <cell r="Z319">
            <v>1729320.522555508</v>
          </cell>
          <cell r="AA319">
            <v>1732860.4464618608</v>
          </cell>
          <cell r="AB319">
            <v>1729320.522555508</v>
          </cell>
          <cell r="AC319">
            <v>1729320.522555508</v>
          </cell>
          <cell r="AD319">
            <v>1734535.6187532174</v>
          </cell>
          <cell r="AE319">
            <v>1730995.6948468643</v>
          </cell>
          <cell r="AF319">
            <v>1732764.6658480023</v>
          </cell>
        </row>
        <row r="320">
          <cell r="D320">
            <v>9260</v>
          </cell>
          <cell r="E320"/>
          <cell r="F320">
            <v>3191076.57</v>
          </cell>
          <cell r="G320">
            <v>3057681.0600000005</v>
          </cell>
          <cell r="H320">
            <v>2761670.4399999995</v>
          </cell>
          <cell r="I320">
            <v>8736017.2399999984</v>
          </cell>
          <cell r="J320">
            <v>6882904.75</v>
          </cell>
          <cell r="K320">
            <v>1762802.32</v>
          </cell>
          <cell r="L320">
            <v>3496495.7220191662</v>
          </cell>
          <cell r="M320">
            <v>3363742.329356838</v>
          </cell>
          <cell r="N320">
            <v>3701920.891754196</v>
          </cell>
          <cell r="O320">
            <v>3791338.8342712107</v>
          </cell>
          <cell r="P320">
            <v>3812051.0229517124</v>
          </cell>
          <cell r="Q320">
            <v>3643470.3610119428</v>
          </cell>
          <cell r="R320">
            <v>3679605.1846998851</v>
          </cell>
          <cell r="S320">
            <v>3441439.2977033779</v>
          </cell>
          <cell r="T320">
            <v>6259038.6552296299</v>
          </cell>
          <cell r="U320">
            <v>3485879.9343476645</v>
          </cell>
          <cell r="V320">
            <v>5928259.6243314957</v>
          </cell>
          <cell r="W320">
            <v>2353030.7579612467</v>
          </cell>
          <cell r="X320">
            <v>2296595.0180259594</v>
          </cell>
          <cell r="Y320">
            <v>3453315.8911714414</v>
          </cell>
          <cell r="Z320">
            <v>3785974.2146605998</v>
          </cell>
          <cell r="AA320">
            <v>3886432.7232955699</v>
          </cell>
          <cell r="AB320">
            <v>3896104.3458581162</v>
          </cell>
          <cell r="AC320">
            <v>3727523.6839183467</v>
          </cell>
          <cell r="AD320">
            <v>3774699.0737242443</v>
          </cell>
          <cell r="AE320">
            <v>3525492.6206097817</v>
          </cell>
          <cell r="AF320">
            <v>6348612.2170442333</v>
          </cell>
        </row>
        <row r="321">
          <cell r="D321">
            <v>9270</v>
          </cell>
          <cell r="E321"/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9280</v>
          </cell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9290</v>
          </cell>
          <cell r="E323"/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9301</v>
          </cell>
          <cell r="E324"/>
          <cell r="F324">
            <v>0</v>
          </cell>
          <cell r="G324">
            <v>0</v>
          </cell>
          <cell r="H324">
            <v>0</v>
          </cell>
          <cell r="I324">
            <v>49000</v>
          </cell>
          <cell r="J324">
            <v>0</v>
          </cell>
          <cell r="K324">
            <v>0</v>
          </cell>
          <cell r="L324">
            <v>5428.9684342813534</v>
          </cell>
          <cell r="M324">
            <v>4444.7359990364439</v>
          </cell>
          <cell r="N324">
            <v>4209.3259088353061</v>
          </cell>
          <cell r="O324">
            <v>9286.3265618306923</v>
          </cell>
          <cell r="P324">
            <v>6155.1780185119169</v>
          </cell>
          <cell r="Q324">
            <v>6081.6180412482327</v>
          </cell>
          <cell r="R324">
            <v>37417.986726004186</v>
          </cell>
          <cell r="S324">
            <v>4409.4998617792717</v>
          </cell>
          <cell r="T324">
            <v>3431.7515417647919</v>
          </cell>
          <cell r="U324">
            <v>7926.284315533243</v>
          </cell>
          <cell r="V324">
            <v>3548.7936389221204</v>
          </cell>
          <cell r="W324">
            <v>3489.8730052817768</v>
          </cell>
          <cell r="X324">
            <v>6268.878131517019</v>
          </cell>
          <cell r="Y324">
            <v>4444.7359990364439</v>
          </cell>
          <cell r="Z324">
            <v>4209.3259088353061</v>
          </cell>
          <cell r="AA324">
            <v>9286.3265618306923</v>
          </cell>
          <cell r="AB324">
            <v>6155.1780185119169</v>
          </cell>
          <cell r="AC324">
            <v>6081.6180412482327</v>
          </cell>
          <cell r="AD324">
            <v>37417.986726004186</v>
          </cell>
          <cell r="AE324">
            <v>4409.4998617792717</v>
          </cell>
          <cell r="AF324">
            <v>3431.7515417647919</v>
          </cell>
        </row>
        <row r="325">
          <cell r="D325">
            <v>9302</v>
          </cell>
          <cell r="E325"/>
          <cell r="F325">
            <v>1754684.6899999997</v>
          </cell>
          <cell r="G325">
            <v>264937.00999999995</v>
          </cell>
          <cell r="H325">
            <v>76913.89</v>
          </cell>
          <cell r="I325">
            <v>317125.99</v>
          </cell>
          <cell r="J325">
            <v>363534.39</v>
          </cell>
          <cell r="K325">
            <v>82445.079999999987</v>
          </cell>
          <cell r="L325">
            <v>332147.74997282546</v>
          </cell>
          <cell r="M325">
            <v>291416.11199540284</v>
          </cell>
          <cell r="N325">
            <v>268744.94624794909</v>
          </cell>
          <cell r="O325">
            <v>540582.17082217766</v>
          </cell>
          <cell r="P325">
            <v>373503.55196243984</v>
          </cell>
          <cell r="Q325">
            <v>366998.30544584792</v>
          </cell>
          <cell r="R325">
            <v>2049451.1946149117</v>
          </cell>
          <cell r="S325">
            <v>278994.80887552002</v>
          </cell>
          <cell r="T325">
            <v>233687.61260510801</v>
          </cell>
          <cell r="U325">
            <v>467404.43847963848</v>
          </cell>
          <cell r="V325">
            <v>238435.33769795415</v>
          </cell>
          <cell r="W325">
            <v>225788.66482440705</v>
          </cell>
          <cell r="X325">
            <v>378833.93787755026</v>
          </cell>
          <cell r="Y325">
            <v>291416.11199540284</v>
          </cell>
          <cell r="Z325">
            <v>268744.94624794909</v>
          </cell>
          <cell r="AA325">
            <v>540582.17082217766</v>
          </cell>
          <cell r="AB325">
            <v>373503.55196243984</v>
          </cell>
          <cell r="AC325">
            <v>366998.30544584792</v>
          </cell>
          <cell r="AD325">
            <v>2049451.1946149117</v>
          </cell>
          <cell r="AE325">
            <v>278994.80887552002</v>
          </cell>
          <cell r="AF325">
            <v>233687.61260510801</v>
          </cell>
        </row>
        <row r="326">
          <cell r="D326">
            <v>9310</v>
          </cell>
          <cell r="E326"/>
          <cell r="F326">
            <v>425099.12</v>
          </cell>
          <cell r="G326">
            <v>415146.3899999999</v>
          </cell>
          <cell r="H326">
            <v>438152.84</v>
          </cell>
          <cell r="I326">
            <v>410794.48000000004</v>
          </cell>
          <cell r="J326">
            <v>431262.10999999993</v>
          </cell>
          <cell r="K326">
            <v>404455.08999999997</v>
          </cell>
          <cell r="L326">
            <v>443653.50976625265</v>
          </cell>
          <cell r="M326">
            <v>472809.36389307916</v>
          </cell>
          <cell r="N326">
            <v>472415.08858076163</v>
          </cell>
          <cell r="O326">
            <v>440956.26265308785</v>
          </cell>
          <cell r="P326">
            <v>441146.69953790621</v>
          </cell>
          <cell r="Q326">
            <v>440844.82376788132</v>
          </cell>
          <cell r="R326">
            <v>441580.85524831305</v>
          </cell>
          <cell r="S326">
            <v>440968.12986385718</v>
          </cell>
          <cell r="T326">
            <v>444791.31283322925</v>
          </cell>
          <cell r="U326">
            <v>440989.17574833584</v>
          </cell>
          <cell r="V326">
            <v>440763.81134045339</v>
          </cell>
          <cell r="W326">
            <v>440738.71351195435</v>
          </cell>
          <cell r="X326">
            <v>441295.50500772143</v>
          </cell>
          <cell r="Y326">
            <v>472809.36389307916</v>
          </cell>
          <cell r="Z326">
            <v>472415.08858076163</v>
          </cell>
          <cell r="AA326">
            <v>440956.26265308785</v>
          </cell>
          <cell r="AB326">
            <v>441146.69953790621</v>
          </cell>
          <cell r="AC326">
            <v>440844.82376788132</v>
          </cell>
          <cell r="AD326">
            <v>441580.85524831305</v>
          </cell>
          <cell r="AE326">
            <v>440968.12986385718</v>
          </cell>
          <cell r="AF326">
            <v>444791.31283322925</v>
          </cell>
        </row>
        <row r="327">
          <cell r="D327">
            <v>9320</v>
          </cell>
          <cell r="E327"/>
          <cell r="F327">
            <v>53285.08</v>
          </cell>
          <cell r="G327">
            <v>43331.920000000006</v>
          </cell>
          <cell r="H327">
            <v>79999.81</v>
          </cell>
          <cell r="I327">
            <v>52072.6</v>
          </cell>
          <cell r="J327">
            <v>16688.239999999998</v>
          </cell>
          <cell r="K327">
            <v>31285.16</v>
          </cell>
          <cell r="L327">
            <v>58823.604207868397</v>
          </cell>
          <cell r="M327">
            <v>69424.51724428068</v>
          </cell>
          <cell r="N327">
            <v>60937.243038643341</v>
          </cell>
          <cell r="O327">
            <v>62350.707278524991</v>
          </cell>
          <cell r="P327">
            <v>60059.680370641057</v>
          </cell>
          <cell r="Q327">
            <v>58880.365097055837</v>
          </cell>
          <cell r="R327">
            <v>60112.004506662801</v>
          </cell>
          <cell r="S327">
            <v>62172.846584541025</v>
          </cell>
          <cell r="T327">
            <v>59261.764691894386</v>
          </cell>
          <cell r="U327">
            <v>60546.114379937731</v>
          </cell>
          <cell r="V327">
            <v>60374.991864564574</v>
          </cell>
          <cell r="W327">
            <v>59864.439843136322</v>
          </cell>
          <cell r="X327">
            <v>60570.102091467561</v>
          </cell>
          <cell r="Y327">
            <v>69424.51724428068</v>
          </cell>
          <cell r="Z327">
            <v>60937.243038643341</v>
          </cell>
          <cell r="AA327">
            <v>62350.707278524991</v>
          </cell>
          <cell r="AB327">
            <v>60059.680370641057</v>
          </cell>
          <cell r="AC327">
            <v>58880.365097055837</v>
          </cell>
          <cell r="AD327">
            <v>60112.004506662801</v>
          </cell>
          <cell r="AE327">
            <v>62172.846584541025</v>
          </cell>
          <cell r="AF327">
            <v>59261.764691894386</v>
          </cell>
        </row>
        <row r="328">
          <cell r="E328"/>
          <cell r="V328"/>
        </row>
        <row r="329">
          <cell r="E329"/>
          <cell r="F329">
            <v>7246876.3700000001</v>
          </cell>
          <cell r="G329">
            <v>5107074.209999999</v>
          </cell>
          <cell r="H329">
            <v>5845266.2999999989</v>
          </cell>
          <cell r="I329">
            <v>10959009.129999999</v>
          </cell>
          <cell r="J329">
            <v>6110725.4800000004</v>
          </cell>
          <cell r="K329">
            <v>1666571.7799999996</v>
          </cell>
          <cell r="L329">
            <v>6723910.1800000025</v>
          </cell>
          <cell r="M329">
            <v>7827801.5286666676</v>
          </cell>
          <cell r="N329">
            <v>7366139.9686666699</v>
          </cell>
          <cell r="O329">
            <v>8272202.0286666695</v>
          </cell>
          <cell r="P329">
            <v>7032001.2453333354</v>
          </cell>
          <cell r="Q329">
            <v>6295030.2953333361</v>
          </cell>
          <cell r="R329">
            <v>9111195.1453333385</v>
          </cell>
          <cell r="S329">
            <v>7168450.7586666699</v>
          </cell>
          <cell r="T329">
            <v>9969627.1686666738</v>
          </cell>
          <cell r="U329">
            <v>7486804.9486666713</v>
          </cell>
          <cell r="V329">
            <v>9963320.678666668</v>
          </cell>
          <cell r="W329">
            <v>6079583.1486666678</v>
          </cell>
          <cell r="X329">
            <v>6442296.2500000028</v>
          </cell>
          <cell r="Y329">
            <v>8026694.0618209988</v>
          </cell>
          <cell r="Z329">
            <v>7554507.1850877581</v>
          </cell>
          <cell r="AA329">
            <v>8481619.9679676481</v>
          </cell>
          <cell r="AB329">
            <v>7220368.4617544236</v>
          </cell>
          <cell r="AC329">
            <v>6483397.5117544243</v>
          </cell>
          <cell r="AD329">
            <v>9320613.0846343152</v>
          </cell>
          <cell r="AE329">
            <v>7356817.9750877582</v>
          </cell>
          <cell r="AF329">
            <v>10168519.701821003</v>
          </cell>
        </row>
        <row r="331">
          <cell r="F331">
            <v>-404881.91000000155</v>
          </cell>
        </row>
      </sheetData>
      <sheetData sheetId="3">
        <row r="32">
          <cell r="F32">
            <v>10939.18</v>
          </cell>
          <cell r="G32">
            <v>1909.36</v>
          </cell>
          <cell r="H32">
            <v>8272.1200000000008</v>
          </cell>
          <cell r="I32">
            <v>1274.58</v>
          </cell>
          <cell r="J32">
            <v>5221.95</v>
          </cell>
          <cell r="K32">
            <v>9575.91</v>
          </cell>
          <cell r="L32">
            <v>4041.5878480253273</v>
          </cell>
          <cell r="M32">
            <v>3550.2247795550957</v>
          </cell>
          <cell r="N32">
            <v>4615.8070899039003</v>
          </cell>
          <cell r="O32">
            <v>3301.8639406002344</v>
          </cell>
          <cell r="P32">
            <v>2830.4029394049962</v>
          </cell>
          <cell r="Q32">
            <v>2583.0170486350626</v>
          </cell>
          <cell r="U32">
            <v>3274.9252280674636</v>
          </cell>
          <cell r="V32">
            <v>10371.507444636411</v>
          </cell>
          <cell r="W32">
            <v>615.03942819820713</v>
          </cell>
          <cell r="X32">
            <v>981.58244772353089</v>
          </cell>
          <cell r="Y32">
            <v>3550.2247795550957</v>
          </cell>
          <cell r="Z32">
            <v>4615.8070899039003</v>
          </cell>
          <cell r="AA32">
            <v>3301.8639406002344</v>
          </cell>
          <cell r="AB32">
            <v>2830.4029394049962</v>
          </cell>
          <cell r="AC32">
            <v>2583.0170486350626</v>
          </cell>
          <cell r="AD32">
            <v>2769.6785224638043</v>
          </cell>
          <cell r="AE32">
            <v>3098.5569571911205</v>
          </cell>
          <cell r="AF32">
            <v>7827.6361520803021</v>
          </cell>
        </row>
        <row r="149">
          <cell r="F149">
            <v>30274.43</v>
          </cell>
          <cell r="G149">
            <v>39094.75</v>
          </cell>
          <cell r="H149">
            <v>61427.96</v>
          </cell>
          <cell r="I149">
            <v>48664.36</v>
          </cell>
          <cell r="J149">
            <v>76.5</v>
          </cell>
          <cell r="K149">
            <v>68220.06</v>
          </cell>
          <cell r="L149">
            <v>20985.978154539815</v>
          </cell>
          <cell r="M149">
            <v>15188.238492340766</v>
          </cell>
          <cell r="N149">
            <v>15188.238492340766</v>
          </cell>
          <cell r="O149">
            <v>23536.808422800659</v>
          </cell>
          <cell r="P149">
            <v>15188.238492340766</v>
          </cell>
          <cell r="Q149">
            <v>15188.238492340766</v>
          </cell>
          <cell r="U149">
            <v>16693.718315866321</v>
          </cell>
          <cell r="V149">
            <v>15188.238492340766</v>
          </cell>
          <cell r="W149">
            <v>16693.718315866321</v>
          </cell>
          <cell r="X149">
            <v>15188.238492340766</v>
          </cell>
          <cell r="Y149">
            <v>15188.238492340766</v>
          </cell>
          <cell r="Z149">
            <v>15188.238492340766</v>
          </cell>
          <cell r="AA149">
            <v>23536.808422800659</v>
          </cell>
          <cell r="AB149">
            <v>15188.238492340766</v>
          </cell>
          <cell r="AC149">
            <v>15188.238492340766</v>
          </cell>
          <cell r="AD149">
            <v>16693.718315866321</v>
          </cell>
          <cell r="AE149">
            <v>15188.238492340766</v>
          </cell>
          <cell r="AF149">
            <v>15188.238492340766</v>
          </cell>
        </row>
        <row r="163">
          <cell r="D163">
            <v>8140</v>
          </cell>
          <cell r="E163"/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D164">
            <v>8150</v>
          </cell>
          <cell r="E164"/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D165">
            <v>8160</v>
          </cell>
          <cell r="E165"/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D166">
            <v>8170</v>
          </cell>
          <cell r="E166"/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D167">
            <v>8180</v>
          </cell>
          <cell r="E167"/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D168">
            <v>8190</v>
          </cell>
          <cell r="E168"/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D169">
            <v>8200</v>
          </cell>
          <cell r="E169"/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D170">
            <v>8210</v>
          </cell>
          <cell r="E170"/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D171">
            <v>8240</v>
          </cell>
          <cell r="E171"/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D172">
            <v>8250</v>
          </cell>
          <cell r="E172"/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D173">
            <v>8310</v>
          </cell>
          <cell r="E173"/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D174">
            <v>8320</v>
          </cell>
          <cell r="E174"/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D175">
            <v>8340</v>
          </cell>
          <cell r="E175"/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D176">
            <v>8350</v>
          </cell>
          <cell r="E176"/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D177">
            <v>8360</v>
          </cell>
          <cell r="E177"/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D178">
            <v>8400</v>
          </cell>
          <cell r="E178"/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D179">
            <v>8410</v>
          </cell>
          <cell r="E179"/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D180">
            <v>8470</v>
          </cell>
          <cell r="E180"/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D181">
            <v>8500</v>
          </cell>
          <cell r="E181"/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D182">
            <v>8560</v>
          </cell>
          <cell r="E182"/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D183">
            <v>8570</v>
          </cell>
          <cell r="E183"/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D184">
            <v>8580</v>
          </cell>
          <cell r="E184"/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D185">
            <v>8590</v>
          </cell>
          <cell r="E185"/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D186">
            <v>8600</v>
          </cell>
          <cell r="E186"/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D187">
            <v>8620</v>
          </cell>
          <cell r="E187"/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D188">
            <v>8630</v>
          </cell>
          <cell r="E188"/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D189">
            <v>8640</v>
          </cell>
          <cell r="E189"/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D190">
            <v>8650</v>
          </cell>
          <cell r="E190"/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D191">
            <v>8670</v>
          </cell>
          <cell r="E191"/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D192">
            <v>8700</v>
          </cell>
          <cell r="E192"/>
          <cell r="F192">
            <v>0</v>
          </cell>
          <cell r="G192">
            <v>0</v>
          </cell>
          <cell r="H192">
            <v>110.8</v>
          </cell>
          <cell r="I192">
            <v>0</v>
          </cell>
          <cell r="J192">
            <v>0</v>
          </cell>
          <cell r="K192">
            <v>0</v>
          </cell>
          <cell r="L192">
            <v>11.512789127790336</v>
          </cell>
          <cell r="M192">
            <v>11.343658236366004</v>
          </cell>
          <cell r="N192">
            <v>10.761569823572707</v>
          </cell>
          <cell r="O192">
            <v>12.461851198899561</v>
          </cell>
          <cell r="P192">
            <v>12.307076245208858</v>
          </cell>
          <cell r="Q192">
            <v>9.3742030285335787</v>
          </cell>
          <cell r="R192">
            <v>9.7342230295097796</v>
          </cell>
          <cell r="S192">
            <v>12.327264282646775</v>
          </cell>
          <cell r="T192">
            <v>12.425961354565484</v>
          </cell>
          <cell r="U192">
            <v>10.078541223589822</v>
          </cell>
          <cell r="V192">
            <v>12.639057305299062</v>
          </cell>
          <cell r="W192">
            <v>12.476431448160278</v>
          </cell>
          <cell r="X192">
            <v>11.318983968386325</v>
          </cell>
          <cell r="Y192">
            <v>11.343658236366004</v>
          </cell>
          <cell r="Z192">
            <v>10.761569823572707</v>
          </cell>
          <cell r="AA192">
            <v>12.461851198899561</v>
          </cell>
          <cell r="AB192">
            <v>12.307076245208858</v>
          </cell>
          <cell r="AC192">
            <v>9.3742030285335787</v>
          </cell>
          <cell r="AD192">
            <v>9.7342230295097796</v>
          </cell>
          <cell r="AE192">
            <v>12.327264282646775</v>
          </cell>
          <cell r="AF192">
            <v>12.425961354565484</v>
          </cell>
        </row>
        <row r="193">
          <cell r="D193">
            <v>8710</v>
          </cell>
          <cell r="E193"/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D194">
            <v>8711</v>
          </cell>
          <cell r="E194"/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D195">
            <v>8720</v>
          </cell>
          <cell r="E195"/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D196">
            <v>8740</v>
          </cell>
          <cell r="E196"/>
          <cell r="F196">
            <v>576.29</v>
          </cell>
          <cell r="G196">
            <v>2015.51</v>
          </cell>
          <cell r="H196">
            <v>1092.17</v>
          </cell>
          <cell r="I196">
            <v>1424.91</v>
          </cell>
          <cell r="J196">
            <v>1268.17</v>
          </cell>
          <cell r="K196">
            <v>3850.36</v>
          </cell>
          <cell r="L196">
            <v>1944.2721978116338</v>
          </cell>
          <cell r="M196">
            <v>1944.2721978116338</v>
          </cell>
          <cell r="N196">
            <v>1944.2721978116338</v>
          </cell>
          <cell r="O196">
            <v>1944.2721978116338</v>
          </cell>
          <cell r="P196">
            <v>1944.2721978116338</v>
          </cell>
          <cell r="Q196">
            <v>1944.2721978116338</v>
          </cell>
          <cell r="R196">
            <v>1944.2721978116338</v>
          </cell>
          <cell r="S196">
            <v>1944.2721978116338</v>
          </cell>
          <cell r="T196">
            <v>1944.2721978116338</v>
          </cell>
          <cell r="U196">
            <v>1944.2721978116338</v>
          </cell>
          <cell r="V196">
            <v>1944.2721978116338</v>
          </cell>
          <cell r="W196">
            <v>1944.2721978116338</v>
          </cell>
          <cell r="X196">
            <v>1944.2721978116338</v>
          </cell>
          <cell r="Y196">
            <v>1944.2721978116338</v>
          </cell>
          <cell r="Z196">
            <v>1944.2721978116338</v>
          </cell>
          <cell r="AA196">
            <v>1944.2721978116338</v>
          </cell>
          <cell r="AB196">
            <v>1944.2721978116338</v>
          </cell>
          <cell r="AC196">
            <v>1944.2721978116338</v>
          </cell>
          <cell r="AD196">
            <v>1944.2721978116338</v>
          </cell>
          <cell r="AE196">
            <v>1944.2721978116338</v>
          </cell>
          <cell r="AF196">
            <v>1944.2721978116338</v>
          </cell>
        </row>
        <row r="197">
          <cell r="D197">
            <v>8750</v>
          </cell>
          <cell r="E197"/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D198">
            <v>8760</v>
          </cell>
          <cell r="E198"/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D199">
            <v>8770</v>
          </cell>
          <cell r="E199"/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D200">
            <v>8780</v>
          </cell>
          <cell r="E200"/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D201">
            <v>8790</v>
          </cell>
          <cell r="E201"/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D202">
            <v>8800</v>
          </cell>
          <cell r="E202"/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86.64</v>
          </cell>
          <cell r="K202">
            <v>0</v>
          </cell>
          <cell r="L202">
            <v>9.4147347532987116</v>
          </cell>
          <cell r="M202">
            <v>8.2701220092074461</v>
          </cell>
          <cell r="N202">
            <v>10.752357998372652</v>
          </cell>
          <cell r="O202">
            <v>7.6915742923715502</v>
          </cell>
          <cell r="P202">
            <v>6.5933227042125786</v>
          </cell>
          <cell r="Q202">
            <v>6.0170460944030433</v>
          </cell>
          <cell r="R202">
            <v>6.4518673406159746</v>
          </cell>
          <cell r="S202">
            <v>7.2179779252344831</v>
          </cell>
          <cell r="T202">
            <v>18.234199252448366</v>
          </cell>
          <cell r="U202">
            <v>7.6288215222652864</v>
          </cell>
          <cell r="V202">
            <v>24.160056704154766</v>
          </cell>
          <cell r="W202">
            <v>1.4327124132995814</v>
          </cell>
          <cell r="X202">
            <v>2.2865613049400753</v>
          </cell>
          <cell r="Y202">
            <v>8.2701220092074461</v>
          </cell>
          <cell r="Z202">
            <v>10.752357998372652</v>
          </cell>
          <cell r="AA202">
            <v>7.6915742923715502</v>
          </cell>
          <cell r="AB202">
            <v>6.5933227042125786</v>
          </cell>
          <cell r="AC202">
            <v>6.0170460944030433</v>
          </cell>
          <cell r="AD202">
            <v>6.4518673406159746</v>
          </cell>
          <cell r="AE202">
            <v>7.2179779252344831</v>
          </cell>
          <cell r="AF202">
            <v>18.234199252448366</v>
          </cell>
        </row>
        <row r="203">
          <cell r="D203">
            <v>8810</v>
          </cell>
          <cell r="E203"/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D204">
            <v>8850</v>
          </cell>
          <cell r="E204"/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D205">
            <v>8860</v>
          </cell>
          <cell r="E205"/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D206">
            <v>8870</v>
          </cell>
          <cell r="E206"/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D207">
            <v>8890</v>
          </cell>
          <cell r="E207"/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D208">
            <v>8900</v>
          </cell>
          <cell r="E208"/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D209">
            <v>8910</v>
          </cell>
          <cell r="E209"/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D210">
            <v>8920</v>
          </cell>
          <cell r="E210"/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D211">
            <v>8930</v>
          </cell>
          <cell r="E211"/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D212">
            <v>8940</v>
          </cell>
          <cell r="E212"/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D213">
            <v>8950</v>
          </cell>
          <cell r="E213"/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D214">
            <v>9010</v>
          </cell>
          <cell r="E214"/>
          <cell r="F214">
            <v>492128.34999999992</v>
          </cell>
          <cell r="G214">
            <v>506968.62999999995</v>
          </cell>
          <cell r="H214">
            <v>484013.91000000009</v>
          </cell>
          <cell r="I214">
            <v>513243.63000000012</v>
          </cell>
          <cell r="J214">
            <v>517441.16</v>
          </cell>
          <cell r="K214">
            <v>482174.60000000003</v>
          </cell>
          <cell r="L214">
            <v>486014.30371933634</v>
          </cell>
          <cell r="M214">
            <v>492955.17758914107</v>
          </cell>
          <cell r="N214">
            <v>471502.18117754912</v>
          </cell>
          <cell r="O214">
            <v>516119.47413596848</v>
          </cell>
          <cell r="P214">
            <v>475749.51810322661</v>
          </cell>
          <cell r="Q214">
            <v>468584.52730546973</v>
          </cell>
          <cell r="R214">
            <v>509776.0115787792</v>
          </cell>
          <cell r="S214">
            <v>474419.82067248464</v>
          </cell>
          <cell r="T214">
            <v>495331.6195320501</v>
          </cell>
          <cell r="U214">
            <v>490956.6239141578</v>
          </cell>
          <cell r="V214">
            <v>476661.44494132552</v>
          </cell>
          <cell r="W214">
            <v>517559.88146398455</v>
          </cell>
          <cell r="X214">
            <v>494850.1140261789</v>
          </cell>
          <cell r="Y214">
            <v>506934.78708737792</v>
          </cell>
          <cell r="Z214">
            <v>484867.78003578522</v>
          </cell>
          <cell r="AA214">
            <v>530713.09422428114</v>
          </cell>
          <cell r="AB214">
            <v>489115.11696146271</v>
          </cell>
          <cell r="AC214">
            <v>481950.12616370583</v>
          </cell>
          <cell r="AD214">
            <v>524369.63166709163</v>
          </cell>
          <cell r="AE214">
            <v>487785.41953072074</v>
          </cell>
          <cell r="AF214">
            <v>509311.22903028695</v>
          </cell>
        </row>
        <row r="215">
          <cell r="D215">
            <v>9020</v>
          </cell>
          <cell r="E215"/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647.53</v>
          </cell>
          <cell r="K215">
            <v>0</v>
          </cell>
          <cell r="L215">
            <v>67.282277472184802</v>
          </cell>
          <cell r="M215">
            <v>66.293853951210082</v>
          </cell>
          <cell r="N215">
            <v>62.892051514964223</v>
          </cell>
          <cell r="O215">
            <v>72.828722985771051</v>
          </cell>
          <cell r="P215">
            <v>71.924197482491806</v>
          </cell>
          <cell r="Q215">
            <v>54.784094648613255</v>
          </cell>
          <cell r="R215">
            <v>56.888099623632378</v>
          </cell>
          <cell r="S215">
            <v>72.042179069876056</v>
          </cell>
          <cell r="T215">
            <v>72.618977941532378</v>
          </cell>
          <cell r="U215">
            <v>58.900341141797085</v>
          </cell>
          <cell r="V215">
            <v>73.864339141699475</v>
          </cell>
          <cell r="W215">
            <v>72.913931909993011</v>
          </cell>
          <cell r="X215">
            <v>66.149654233296019</v>
          </cell>
          <cell r="Y215">
            <v>66.293853951210082</v>
          </cell>
          <cell r="Z215">
            <v>62.892051514964223</v>
          </cell>
          <cell r="AA215">
            <v>72.828722985771051</v>
          </cell>
          <cell r="AB215">
            <v>71.924197482491806</v>
          </cell>
          <cell r="AC215">
            <v>54.784094648613255</v>
          </cell>
          <cell r="AD215">
            <v>56.888099623632378</v>
          </cell>
          <cell r="AE215">
            <v>72.042179069876056</v>
          </cell>
          <cell r="AF215">
            <v>72.618977941532378</v>
          </cell>
        </row>
        <row r="216">
          <cell r="D216">
            <v>9030</v>
          </cell>
          <cell r="E216"/>
          <cell r="F216">
            <v>2002011.25</v>
          </cell>
          <cell r="G216">
            <v>2081127.2300000002</v>
          </cell>
          <cell r="H216">
            <v>1934126.7400000002</v>
          </cell>
          <cell r="I216">
            <v>1931715.27</v>
          </cell>
          <cell r="J216">
            <v>2068679.16</v>
          </cell>
          <cell r="K216">
            <v>1808885.17</v>
          </cell>
          <cell r="L216">
            <v>1951397.8726052137</v>
          </cell>
          <cell r="M216">
            <v>2041452.5456392185</v>
          </cell>
          <cell r="N216">
            <v>1905383.5533197431</v>
          </cell>
          <cell r="O216">
            <v>2078745.277267073</v>
          </cell>
          <cell r="P216">
            <v>1955371.2923865118</v>
          </cell>
          <cell r="Q216">
            <v>1903225.0414688229</v>
          </cell>
          <cell r="R216">
            <v>2076787.2302184191</v>
          </cell>
          <cell r="S216">
            <v>1955570.5670893025</v>
          </cell>
          <cell r="T216">
            <v>1992111.3532931514</v>
          </cell>
          <cell r="U216">
            <v>1989556.6772795499</v>
          </cell>
          <cell r="V216">
            <v>1956432.8070409035</v>
          </cell>
          <cell r="W216">
            <v>2077808.3643239501</v>
          </cell>
          <cell r="X216">
            <v>1991861.1490554838</v>
          </cell>
          <cell r="Y216">
            <v>2100528.6637602998</v>
          </cell>
          <cell r="Z216">
            <v>1961864.9376536708</v>
          </cell>
          <cell r="AA216">
            <v>2140416.1289643305</v>
          </cell>
          <cell r="AB216">
            <v>2011852.6767204395</v>
          </cell>
          <cell r="AC216">
            <v>1959706.4258027505</v>
          </cell>
          <cell r="AD216">
            <v>2138458.0819156761</v>
          </cell>
          <cell r="AE216">
            <v>2012051.9514232301</v>
          </cell>
          <cell r="AF216">
            <v>2051187.4714142326</v>
          </cell>
        </row>
        <row r="217">
          <cell r="D217">
            <v>9040</v>
          </cell>
          <cell r="E217"/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D218">
            <v>9070</v>
          </cell>
          <cell r="E218"/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D219">
            <v>9080</v>
          </cell>
          <cell r="E219"/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D220">
            <v>9090</v>
          </cell>
          <cell r="E220"/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D221">
            <v>9100</v>
          </cell>
          <cell r="E221"/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D222">
            <v>9110</v>
          </cell>
          <cell r="E222"/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D223">
            <v>9120</v>
          </cell>
          <cell r="E223"/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D224">
            <v>9130</v>
          </cell>
          <cell r="E224"/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D225">
            <v>9160</v>
          </cell>
          <cell r="E225"/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D226">
            <v>9200</v>
          </cell>
          <cell r="E226"/>
          <cell r="F226">
            <v>397661.67999999993</v>
          </cell>
          <cell r="G226">
            <v>345241.76</v>
          </cell>
          <cell r="H226">
            <v>332031.2900000001</v>
          </cell>
          <cell r="I226">
            <v>327601.55000000005</v>
          </cell>
          <cell r="J226">
            <v>366879.32</v>
          </cell>
          <cell r="K226">
            <v>374650.87000000005</v>
          </cell>
          <cell r="L226">
            <v>357551.84747406084</v>
          </cell>
          <cell r="M226">
            <v>365099.56907697639</v>
          </cell>
          <cell r="N226">
            <v>349087.72095105256</v>
          </cell>
          <cell r="O226">
            <v>381126.70957916311</v>
          </cell>
          <cell r="P226">
            <v>349065.10628278391</v>
          </cell>
          <cell r="Q226">
            <v>349065.23505700979</v>
          </cell>
          <cell r="R226">
            <v>381128.8943905218</v>
          </cell>
          <cell r="S226">
            <v>349072.11751732312</v>
          </cell>
          <cell r="T226">
            <v>365093.33570836892</v>
          </cell>
          <cell r="U226">
            <v>364910.68369002739</v>
          </cell>
          <cell r="V226">
            <v>349070.34339133336</v>
          </cell>
          <cell r="W226">
            <v>380938.31919138582</v>
          </cell>
          <cell r="X226">
            <v>365099.6334640893</v>
          </cell>
          <cell r="Y226">
            <v>376047.30045765842</v>
          </cell>
          <cell r="Z226">
            <v>359554.60745888902</v>
          </cell>
          <cell r="AA226">
            <v>392555.28579359315</v>
          </cell>
          <cell r="AB226">
            <v>359531.99279062037</v>
          </cell>
          <cell r="AC226">
            <v>359532.12156484625</v>
          </cell>
          <cell r="AD226">
            <v>392557.47060495184</v>
          </cell>
          <cell r="AE226">
            <v>359539.00402515958</v>
          </cell>
          <cell r="AF226">
            <v>376041.06708905095</v>
          </cell>
        </row>
        <row r="227">
          <cell r="D227">
            <v>9210</v>
          </cell>
          <cell r="E227"/>
          <cell r="F227">
            <v>827251.39999999991</v>
          </cell>
          <cell r="G227">
            <v>819939.58000000007</v>
          </cell>
          <cell r="H227">
            <v>894493.90999999992</v>
          </cell>
          <cell r="I227">
            <v>879145.65</v>
          </cell>
          <cell r="J227">
            <v>936394.12</v>
          </cell>
          <cell r="K227">
            <v>874386.96</v>
          </cell>
          <cell r="L227">
            <v>250285.00072836917</v>
          </cell>
          <cell r="M227">
            <v>218204.73640235869</v>
          </cell>
          <cell r="N227">
            <v>219028.16632233048</v>
          </cell>
          <cell r="O227">
            <v>274115.33519323886</v>
          </cell>
          <cell r="P227">
            <v>216051.37562745909</v>
          </cell>
          <cell r="Q227">
            <v>208814.04274894169</v>
          </cell>
          <cell r="R227">
            <v>222686.82707046057</v>
          </cell>
          <cell r="S227">
            <v>218608.72820242791</v>
          </cell>
          <cell r="T227">
            <v>221347.42718565563</v>
          </cell>
          <cell r="U227">
            <v>225749.76552578231</v>
          </cell>
          <cell r="V227">
            <v>228798.80856100851</v>
          </cell>
          <cell r="W227">
            <v>228537.9235745339</v>
          </cell>
          <cell r="X227">
            <v>208903.0450778958</v>
          </cell>
          <cell r="Y227">
            <v>218204.73640235869</v>
          </cell>
          <cell r="Z227">
            <v>219028.16632233048</v>
          </cell>
          <cell r="AA227">
            <v>274115.33519323886</v>
          </cell>
          <cell r="AB227">
            <v>216051.37562745909</v>
          </cell>
          <cell r="AC227">
            <v>208814.04274894169</v>
          </cell>
          <cell r="AD227">
            <v>222686.82707046057</v>
          </cell>
          <cell r="AE227">
            <v>218608.72820242791</v>
          </cell>
          <cell r="AF227">
            <v>221347.42718565563</v>
          </cell>
        </row>
        <row r="228">
          <cell r="D228">
            <v>9220</v>
          </cell>
          <cell r="E228"/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D229">
            <v>9230</v>
          </cell>
          <cell r="E229"/>
          <cell r="F229">
            <v>45897.87</v>
          </cell>
          <cell r="G229">
            <v>39094.75</v>
          </cell>
          <cell r="H229">
            <v>61427.96</v>
          </cell>
          <cell r="I229">
            <v>49206.94</v>
          </cell>
          <cell r="J229">
            <v>408.03</v>
          </cell>
          <cell r="K229">
            <v>68220.06</v>
          </cell>
          <cell r="L229">
            <v>23493.647262455484</v>
          </cell>
          <cell r="M229">
            <v>18405.812904484945</v>
          </cell>
          <cell r="N229">
            <v>17979.433014054684</v>
          </cell>
          <cell r="O229">
            <v>27198.700198579809</v>
          </cell>
          <cell r="P229">
            <v>17905.950000505873</v>
          </cell>
          <cell r="Q229">
            <v>17884.130417478467</v>
          </cell>
          <cell r="R229">
            <v>19912.303867671537</v>
          </cell>
          <cell r="S229">
            <v>17332.74154463274</v>
          </cell>
          <cell r="T229">
            <v>16911.732424960977</v>
          </cell>
          <cell r="U229">
            <v>22709.364056460839</v>
          </cell>
          <cell r="V229">
            <v>20142.726006908637</v>
          </cell>
          <cell r="W229">
            <v>22899.10524111654</v>
          </cell>
          <cell r="X229">
            <v>17694.378655961431</v>
          </cell>
          <cell r="Y229">
            <v>18405.812904484945</v>
          </cell>
          <cell r="Z229">
            <v>17979.433014054684</v>
          </cell>
          <cell r="AA229">
            <v>27198.700198579809</v>
          </cell>
          <cell r="AB229">
            <v>17905.950000505873</v>
          </cell>
          <cell r="AC229">
            <v>17884.130417478467</v>
          </cell>
          <cell r="AD229">
            <v>19912.303867671537</v>
          </cell>
          <cell r="AE229">
            <v>17332.74154463274</v>
          </cell>
          <cell r="AF229">
            <v>16911.732424960977</v>
          </cell>
        </row>
        <row r="230">
          <cell r="D230">
            <v>9240</v>
          </cell>
          <cell r="E230"/>
          <cell r="F230">
            <v>10471.56</v>
          </cell>
          <cell r="G230">
            <v>10471.56</v>
          </cell>
          <cell r="H230">
            <v>10471.56</v>
          </cell>
          <cell r="I230">
            <v>10471.56</v>
          </cell>
          <cell r="J230">
            <v>10471.56</v>
          </cell>
          <cell r="K230">
            <v>10471.56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D231">
            <v>9250</v>
          </cell>
          <cell r="E231"/>
          <cell r="F231">
            <v>0</v>
          </cell>
          <cell r="G231">
            <v>263.10000000000002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22.285494374872915</v>
          </cell>
          <cell r="M231">
            <v>16.128740866532681</v>
          </cell>
          <cell r="N231">
            <v>16.128740866532681</v>
          </cell>
          <cell r="O231">
            <v>24.99427988755988</v>
          </cell>
          <cell r="P231">
            <v>16.128740866532681</v>
          </cell>
          <cell r="Q231">
            <v>16.128740866532681</v>
          </cell>
          <cell r="R231">
            <v>17.72744462442283</v>
          </cell>
          <cell r="S231">
            <v>16.128740866532681</v>
          </cell>
          <cell r="T231">
            <v>16.128740866532681</v>
          </cell>
          <cell r="U231">
            <v>17.72744462442283</v>
          </cell>
          <cell r="V231">
            <v>16.128740866532681</v>
          </cell>
          <cell r="W231">
            <v>17.72744462442283</v>
          </cell>
          <cell r="X231">
            <v>16.128740866532681</v>
          </cell>
          <cell r="Y231">
            <v>16.128740866532681</v>
          </cell>
          <cell r="Z231">
            <v>16.128740866532681</v>
          </cell>
          <cell r="AA231">
            <v>24.99427988755988</v>
          </cell>
          <cell r="AB231">
            <v>16.128740866532681</v>
          </cell>
          <cell r="AC231">
            <v>16.128740866532681</v>
          </cell>
          <cell r="AD231">
            <v>17.72744462442283</v>
          </cell>
          <cell r="AE231">
            <v>16.128740866532681</v>
          </cell>
          <cell r="AF231">
            <v>16.128740866532681</v>
          </cell>
        </row>
        <row r="232">
          <cell r="D232">
            <v>9260</v>
          </cell>
          <cell r="E232"/>
          <cell r="F232">
            <v>1082828.1199999999</v>
          </cell>
          <cell r="G232">
            <v>1057005.1399999999</v>
          </cell>
          <cell r="H232">
            <v>1090778.6599999997</v>
          </cell>
          <cell r="I232">
            <v>1030066.77</v>
          </cell>
          <cell r="J232">
            <v>1252829.5</v>
          </cell>
          <cell r="K232">
            <v>951298.00999999989</v>
          </cell>
          <cell r="L232">
            <v>1049930.7690482407</v>
          </cell>
          <cell r="M232">
            <v>1013616.7286260744</v>
          </cell>
          <cell r="N232">
            <v>984005.84349530435</v>
          </cell>
          <cell r="O232">
            <v>1053202.1013875802</v>
          </cell>
          <cell r="P232">
            <v>962214.24396622425</v>
          </cell>
          <cell r="Q232">
            <v>959194.79637543834</v>
          </cell>
          <cell r="R232">
            <v>1046706.5572252098</v>
          </cell>
          <cell r="S232">
            <v>965487.17517682794</v>
          </cell>
          <cell r="T232">
            <v>1065824.3117803733</v>
          </cell>
          <cell r="U232">
            <v>1009770.3432075272</v>
          </cell>
          <cell r="V232">
            <v>1054256.557936999</v>
          </cell>
          <cell r="W232">
            <v>1019899.9517827241</v>
          </cell>
          <cell r="X232">
            <v>982265.38164221391</v>
          </cell>
          <cell r="Y232">
            <v>1097735.6628697559</v>
          </cell>
          <cell r="Z232">
            <v>1064430.1520594757</v>
          </cell>
          <cell r="AA232">
            <v>1141015.6975452001</v>
          </cell>
          <cell r="AB232">
            <v>1042638.5525303954</v>
          </cell>
          <cell r="AC232">
            <v>1039619.1049396095</v>
          </cell>
          <cell r="AD232">
            <v>1134520.1533828296</v>
          </cell>
          <cell r="AE232">
            <v>1045911.4837409991</v>
          </cell>
          <cell r="AF232">
            <v>1149943.2460240547</v>
          </cell>
        </row>
        <row r="233">
          <cell r="D233">
            <v>9270</v>
          </cell>
          <cell r="E233"/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D234">
            <v>9280</v>
          </cell>
          <cell r="E234"/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D235">
            <v>9290</v>
          </cell>
          <cell r="E235"/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D236">
            <v>9301</v>
          </cell>
          <cell r="E236"/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D237">
            <v>9302</v>
          </cell>
          <cell r="E237"/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D238">
            <v>9310</v>
          </cell>
          <cell r="E238"/>
          <cell r="F238">
            <v>151119.91999999998</v>
          </cell>
          <cell r="G238">
            <v>150819.15</v>
          </cell>
          <cell r="H238">
            <v>150915.38</v>
          </cell>
          <cell r="I238">
            <v>150928.35999999999</v>
          </cell>
          <cell r="J238">
            <v>150935.1</v>
          </cell>
          <cell r="K238">
            <v>151108.78</v>
          </cell>
          <cell r="L238">
            <v>136663.21028857684</v>
          </cell>
          <cell r="M238">
            <v>138182.07091391427</v>
          </cell>
          <cell r="N238">
            <v>151047.2027226068</v>
          </cell>
          <cell r="O238">
            <v>137376.75824928418</v>
          </cell>
          <cell r="P238">
            <v>133211.70401175355</v>
          </cell>
          <cell r="Q238">
            <v>133313.26431375064</v>
          </cell>
          <cell r="R238">
            <v>139098.7704363009</v>
          </cell>
          <cell r="S238">
            <v>138741.25072454085</v>
          </cell>
          <cell r="T238">
            <v>133264.54281752231</v>
          </cell>
          <cell r="U238">
            <v>133436.7835999633</v>
          </cell>
          <cell r="V238">
            <v>137342.05169905399</v>
          </cell>
          <cell r="W238">
            <v>139577.75077950335</v>
          </cell>
          <cell r="X238">
            <v>138231.39055978524</v>
          </cell>
          <cell r="Y238">
            <v>138182.07091391427</v>
          </cell>
          <cell r="Z238">
            <v>151047.2027226068</v>
          </cell>
          <cell r="AA238">
            <v>137376.75824928418</v>
          </cell>
          <cell r="AB238">
            <v>133211.70401175355</v>
          </cell>
          <cell r="AC238">
            <v>133313.26431375064</v>
          </cell>
          <cell r="AD238">
            <v>139098.7704363009</v>
          </cell>
          <cell r="AE238">
            <v>138741.25072454085</v>
          </cell>
          <cell r="AF238">
            <v>133264.54281752231</v>
          </cell>
        </row>
        <row r="239">
          <cell r="D239">
            <v>9320</v>
          </cell>
          <cell r="E239"/>
          <cell r="F239">
            <v>2999.9999999999995</v>
          </cell>
          <cell r="G239">
            <v>3318.9800000000005</v>
          </cell>
          <cell r="H239">
            <v>8399.9600000000009</v>
          </cell>
          <cell r="I239">
            <v>144.44999999999999</v>
          </cell>
          <cell r="J239">
            <v>4235.5200000000004</v>
          </cell>
          <cell r="K239">
            <v>1240.9499999999998</v>
          </cell>
          <cell r="L239">
            <v>11.381380207247659</v>
          </cell>
          <cell r="M239">
            <v>59.470274956789574</v>
          </cell>
          <cell r="N239">
            <v>13.432079343688679</v>
          </cell>
          <cell r="O239">
            <v>52.395362936068054</v>
          </cell>
          <cell r="P239">
            <v>55.984086424839838</v>
          </cell>
          <cell r="Q239">
            <v>10.356030639027152</v>
          </cell>
          <cell r="R239">
            <v>11.381380207247659</v>
          </cell>
          <cell r="S239">
            <v>53.420712504288566</v>
          </cell>
          <cell r="T239">
            <v>57.727180690814698</v>
          </cell>
          <cell r="U239">
            <v>11.381380207247659</v>
          </cell>
          <cell r="V239">
            <v>10.356030639027152</v>
          </cell>
          <cell r="W239">
            <v>24.710924594114285</v>
          </cell>
          <cell r="X239">
            <v>11.381380207247659</v>
          </cell>
          <cell r="Y239">
            <v>59.470274956789574</v>
          </cell>
          <cell r="Z239">
            <v>13.432079343688679</v>
          </cell>
          <cell r="AA239">
            <v>52.395362936068054</v>
          </cell>
          <cell r="AB239">
            <v>55.984086424839838</v>
          </cell>
          <cell r="AC239">
            <v>10.356030639027152</v>
          </cell>
          <cell r="AD239">
            <v>11.381380207247659</v>
          </cell>
          <cell r="AE239">
            <v>53.420712504288566</v>
          </cell>
          <cell r="AF239">
            <v>57.727180690814698</v>
          </cell>
        </row>
      </sheetData>
      <sheetData sheetId="4">
        <row r="9">
          <cell r="C9" t="str">
            <v>8870</v>
          </cell>
          <cell r="AL9">
            <v>-13.516276136891975</v>
          </cell>
        </row>
        <row r="10">
          <cell r="C10" t="str">
            <v>8920</v>
          </cell>
          <cell r="AL10">
            <v>-0.95519480962093439</v>
          </cell>
        </row>
        <row r="11">
          <cell r="C11" t="str">
            <v>8930</v>
          </cell>
          <cell r="AL11">
            <v>-40.019257251376985</v>
          </cell>
        </row>
        <row r="12">
          <cell r="C12" t="str">
            <v>9020</v>
          </cell>
          <cell r="AL12">
            <v>-108.92431469616713</v>
          </cell>
        </row>
        <row r="13">
          <cell r="C13" t="str">
            <v>9030</v>
          </cell>
          <cell r="AL13">
            <v>-137.80683440173743</v>
          </cell>
        </row>
        <row r="14">
          <cell r="C14" t="str">
            <v>9090</v>
          </cell>
          <cell r="AL14">
            <v>-39.920662117059692</v>
          </cell>
        </row>
        <row r="15">
          <cell r="C15" t="str">
            <v>9110</v>
          </cell>
          <cell r="AL15">
            <v>-63.403891580004711</v>
          </cell>
        </row>
        <row r="16">
          <cell r="C16" t="str">
            <v>9200</v>
          </cell>
          <cell r="AL16">
            <v>-53.944864473247435</v>
          </cell>
        </row>
        <row r="17">
          <cell r="C17" t="str">
            <v>8160</v>
          </cell>
          <cell r="AL17">
            <v>-18.157946393410384</v>
          </cell>
        </row>
        <row r="18">
          <cell r="C18" t="str">
            <v>8170</v>
          </cell>
          <cell r="AL18">
            <v>-13.572491765873565</v>
          </cell>
        </row>
        <row r="19">
          <cell r="C19" t="str">
            <v>8180</v>
          </cell>
          <cell r="AL19">
            <v>-6.4107163774733635</v>
          </cell>
        </row>
        <row r="20">
          <cell r="C20" t="str">
            <v>8200</v>
          </cell>
          <cell r="AL20">
            <v>-0.49529869633784074</v>
          </cell>
        </row>
        <row r="21">
          <cell r="C21" t="str">
            <v>8210</v>
          </cell>
          <cell r="AL21">
            <v>-6.5306503775227611</v>
          </cell>
        </row>
        <row r="22">
          <cell r="C22" t="str">
            <v>8340</v>
          </cell>
          <cell r="AL22">
            <v>-0.79483547032509705</v>
          </cell>
        </row>
        <row r="23">
          <cell r="C23" t="str">
            <v>8350</v>
          </cell>
          <cell r="AL23">
            <v>-0.90677230076516935</v>
          </cell>
        </row>
        <row r="24">
          <cell r="C24" t="str">
            <v>8360</v>
          </cell>
          <cell r="AL24">
            <v>-9.9270067182828825E-2</v>
          </cell>
        </row>
        <row r="25">
          <cell r="C25" t="str">
            <v>8410</v>
          </cell>
          <cell r="AL25">
            <v>-48.958036690077279</v>
          </cell>
        </row>
        <row r="26">
          <cell r="C26" t="str">
            <v>8560</v>
          </cell>
          <cell r="AL26">
            <v>-52.065278475944069</v>
          </cell>
        </row>
        <row r="27">
          <cell r="C27" t="str">
            <v>8570</v>
          </cell>
          <cell r="AL27">
            <v>-9.9606199444533559</v>
          </cell>
        </row>
        <row r="28">
          <cell r="C28" t="str">
            <v>8630</v>
          </cell>
          <cell r="AL28">
            <v>-2.027898569824174</v>
          </cell>
        </row>
        <row r="29">
          <cell r="C29" t="str">
            <v>8650</v>
          </cell>
          <cell r="AL29">
            <v>-2.2985623438007678</v>
          </cell>
        </row>
        <row r="30">
          <cell r="C30" t="str">
            <v>8700</v>
          </cell>
          <cell r="AL30">
            <v>-259.63847098348197</v>
          </cell>
        </row>
        <row r="31">
          <cell r="C31" t="str">
            <v>8740</v>
          </cell>
          <cell r="AL31">
            <v>-534.41953946882859</v>
          </cell>
        </row>
        <row r="32">
          <cell r="C32" t="str">
            <v>8750</v>
          </cell>
          <cell r="AL32">
            <v>-133.72354551998433</v>
          </cell>
        </row>
        <row r="33">
          <cell r="C33" t="str">
            <v>8760</v>
          </cell>
          <cell r="AL33">
            <v>-8.0682416149757046</v>
          </cell>
        </row>
        <row r="34">
          <cell r="C34" t="str">
            <v>8770</v>
          </cell>
          <cell r="AL34">
            <v>-7.2852174697400187</v>
          </cell>
        </row>
        <row r="35">
          <cell r="C35" t="str">
            <v>8780</v>
          </cell>
          <cell r="AL35">
            <v>-328.25049769331235</v>
          </cell>
        </row>
        <row r="36">
          <cell r="C36" t="str">
            <v>8800</v>
          </cell>
          <cell r="AL36">
            <v>-81.196777775447117</v>
          </cell>
        </row>
        <row r="37">
          <cell r="C37" t="str">
            <v>8700</v>
          </cell>
          <cell r="AL37">
            <v>-2611.9501370806247</v>
          </cell>
        </row>
        <row r="38">
          <cell r="C38" t="str">
            <v>8700</v>
          </cell>
          <cell r="AL38">
            <v>2620.5931154200807</v>
          </cell>
        </row>
        <row r="39">
          <cell r="C39" t="str">
            <v>8560</v>
          </cell>
          <cell r="AL39">
            <v>-1.7627127393161572</v>
          </cell>
        </row>
        <row r="40">
          <cell r="C40" t="str">
            <v>8700</v>
          </cell>
          <cell r="AL40">
            <v>0</v>
          </cell>
        </row>
        <row r="41">
          <cell r="C41" t="str">
            <v>8870</v>
          </cell>
          <cell r="AL41">
            <v>0.12410916613407608</v>
          </cell>
        </row>
        <row r="42">
          <cell r="C42" t="str">
            <v>8920</v>
          </cell>
          <cell r="AL42">
            <v>-0.23038754780770887</v>
          </cell>
        </row>
        <row r="43">
          <cell r="C43" t="str">
            <v>8930</v>
          </cell>
          <cell r="AL43">
            <v>-2.0326074037502622</v>
          </cell>
        </row>
        <row r="44">
          <cell r="C44" t="str">
            <v>9020</v>
          </cell>
          <cell r="AL44">
            <v>2.3768074675117532</v>
          </cell>
        </row>
        <row r="45">
          <cell r="C45" t="str">
            <v>9030</v>
          </cell>
          <cell r="AL45">
            <v>-2.7753003864190759</v>
          </cell>
        </row>
        <row r="46">
          <cell r="C46" t="str">
            <v>9090</v>
          </cell>
          <cell r="AL46">
            <v>-0.3070787563229942</v>
          </cell>
        </row>
        <row r="47">
          <cell r="C47" t="str">
            <v>9110</v>
          </cell>
          <cell r="AL47">
            <v>-0.48770177760684419</v>
          </cell>
        </row>
        <row r="48">
          <cell r="C48" t="str">
            <v>9200</v>
          </cell>
          <cell r="AL48">
            <v>0.25897801778558005</v>
          </cell>
        </row>
        <row r="49">
          <cell r="C49" t="str">
            <v>8160</v>
          </cell>
          <cell r="AL49">
            <v>1.5694543470026474</v>
          </cell>
        </row>
        <row r="50">
          <cell r="C50" t="str">
            <v>8170</v>
          </cell>
          <cell r="AL50">
            <v>1.2954708451106853</v>
          </cell>
        </row>
        <row r="51">
          <cell r="C51" t="str">
            <v>8180</v>
          </cell>
          <cell r="AL51">
            <v>7.9139802156078076E-2</v>
          </cell>
        </row>
        <row r="52">
          <cell r="C52" t="str">
            <v>8200</v>
          </cell>
          <cell r="AL52">
            <v>0</v>
          </cell>
        </row>
        <row r="53">
          <cell r="C53" t="str">
            <v>8210</v>
          </cell>
          <cell r="AL53">
            <v>0.64925402149606271</v>
          </cell>
        </row>
        <row r="54">
          <cell r="C54" t="str">
            <v>8340</v>
          </cell>
          <cell r="AL54">
            <v>0.42387353376125247</v>
          </cell>
        </row>
        <row r="55">
          <cell r="C55" t="str">
            <v>8350</v>
          </cell>
          <cell r="AL55">
            <v>-4.8304788007797583E-2</v>
          </cell>
        </row>
        <row r="56">
          <cell r="C56" t="str">
            <v>8360</v>
          </cell>
          <cell r="AL56">
            <v>0</v>
          </cell>
        </row>
        <row r="57">
          <cell r="C57" t="str">
            <v>8410</v>
          </cell>
          <cell r="AL57">
            <v>-2.3055549621767568</v>
          </cell>
        </row>
        <row r="58">
          <cell r="C58" t="str">
            <v>8560</v>
          </cell>
          <cell r="AL58">
            <v>0.34858712736661346</v>
          </cell>
        </row>
        <row r="59">
          <cell r="C59" t="str">
            <v>8570</v>
          </cell>
          <cell r="AL59">
            <v>0.46513861505218301</v>
          </cell>
        </row>
        <row r="60">
          <cell r="C60" t="str">
            <v>8630</v>
          </cell>
          <cell r="AL60">
            <v>-0.3390988270091384</v>
          </cell>
        </row>
        <row r="61">
          <cell r="C61" t="str">
            <v>8650</v>
          </cell>
          <cell r="AL61">
            <v>2.2305518259208985E-17</v>
          </cell>
        </row>
        <row r="62">
          <cell r="C62" t="str">
            <v>8700</v>
          </cell>
          <cell r="AL62">
            <v>3.3495505315586342</v>
          </cell>
        </row>
        <row r="63">
          <cell r="C63" t="str">
            <v>8740</v>
          </cell>
          <cell r="AL63">
            <v>-0.97249977429282808</v>
          </cell>
        </row>
        <row r="64">
          <cell r="C64" t="str">
            <v>8750</v>
          </cell>
          <cell r="AL64">
            <v>-0.14281893292701398</v>
          </cell>
        </row>
        <row r="65">
          <cell r="C65" t="str">
            <v>8760</v>
          </cell>
          <cell r="AL65">
            <v>-0.56535044902011578</v>
          </cell>
        </row>
        <row r="66">
          <cell r="C66" t="str">
            <v>8770</v>
          </cell>
          <cell r="AL66">
            <v>1.3151537709154582</v>
          </cell>
        </row>
        <row r="67">
          <cell r="C67" t="str">
            <v>8780</v>
          </cell>
          <cell r="AL67">
            <v>-1.4370968734438065</v>
          </cell>
        </row>
        <row r="68">
          <cell r="C68" t="str">
            <v>8800</v>
          </cell>
          <cell r="AL68">
            <v>0.94255943859070612</v>
          </cell>
        </row>
        <row r="69">
          <cell r="C69" t="str">
            <v>8700</v>
          </cell>
          <cell r="AL69">
            <v>-1357.2325308597647</v>
          </cell>
        </row>
        <row r="70">
          <cell r="C70" t="str">
            <v>8700</v>
          </cell>
          <cell r="AL70">
            <v>1348.5895525203086</v>
          </cell>
        </row>
        <row r="71">
          <cell r="C71" t="str">
            <v>8700</v>
          </cell>
          <cell r="AL71">
            <v>0</v>
          </cell>
        </row>
        <row r="72">
          <cell r="C72" t="str">
            <v>8560</v>
          </cell>
          <cell r="AL72">
            <v>-1.7627127393161572</v>
          </cell>
        </row>
        <row r="73">
          <cell r="C73" t="str">
            <v>8700</v>
          </cell>
          <cell r="AL73">
            <v>0</v>
          </cell>
        </row>
        <row r="74">
          <cell r="C74" t="str">
            <v>8560</v>
          </cell>
          <cell r="AL74">
            <v>1.7627127393161572</v>
          </cell>
        </row>
        <row r="75">
          <cell r="C75"/>
          <cell r="AL75"/>
        </row>
        <row r="76">
          <cell r="C76"/>
          <cell r="AL76"/>
        </row>
        <row r="77">
          <cell r="C77" t="str">
            <v>9260</v>
          </cell>
          <cell r="AL77">
            <v>4207.927007183549</v>
          </cell>
        </row>
        <row r="78">
          <cell r="C78" t="str">
            <v>9260</v>
          </cell>
          <cell r="AL78">
            <v>6308.7150652478449</v>
          </cell>
        </row>
        <row r="79">
          <cell r="C79" t="str">
            <v>9260</v>
          </cell>
          <cell r="AL79">
            <v>8516.7592511223629</v>
          </cell>
        </row>
        <row r="80">
          <cell r="C80" t="str">
            <v>9260</v>
          </cell>
          <cell r="AL80">
            <v>7.604940264240895</v>
          </cell>
        </row>
        <row r="81">
          <cell r="C81" t="str">
            <v>9260</v>
          </cell>
          <cell r="AL81">
            <v>1886.4938140745508</v>
          </cell>
        </row>
        <row r="82">
          <cell r="C82" t="str">
            <v>9260</v>
          </cell>
          <cell r="AL82">
            <v>1.7074362306188107</v>
          </cell>
        </row>
        <row r="83">
          <cell r="C83" t="str">
            <v>9260</v>
          </cell>
          <cell r="AL83">
            <v>95.626075447029507</v>
          </cell>
        </row>
        <row r="84">
          <cell r="C84" t="str">
            <v>9260</v>
          </cell>
          <cell r="AL84">
            <v>3.9164921448093359E-2</v>
          </cell>
        </row>
        <row r="85">
          <cell r="C85" t="str">
            <v>9260</v>
          </cell>
          <cell r="AL85">
            <v>150.69870757570789</v>
          </cell>
        </row>
        <row r="86">
          <cell r="C86" t="str">
            <v>9260</v>
          </cell>
          <cell r="AL86">
            <v>0.13003525643356539</v>
          </cell>
        </row>
        <row r="87">
          <cell r="C87" t="str">
            <v>9260</v>
          </cell>
          <cell r="AL87">
            <v>242.36410975964827</v>
          </cell>
        </row>
        <row r="88">
          <cell r="C88" t="str">
            <v>9260</v>
          </cell>
          <cell r="AL88">
            <v>0.22958747055778161</v>
          </cell>
        </row>
        <row r="89">
          <cell r="C89" t="str">
            <v>9260</v>
          </cell>
          <cell r="AL89">
            <v>387.78597119484039</v>
          </cell>
        </row>
        <row r="90">
          <cell r="C90" t="str">
            <v>9260</v>
          </cell>
          <cell r="AL90">
            <v>0.33377002022265856</v>
          </cell>
        </row>
        <row r="91">
          <cell r="C91" t="str">
            <v>9260</v>
          </cell>
          <cell r="AL91">
            <v>3.7785467318270207</v>
          </cell>
        </row>
        <row r="92">
          <cell r="C92" t="str">
            <v>9260</v>
          </cell>
          <cell r="AL92">
            <v>5.7070814845122868</v>
          </cell>
        </row>
        <row r="93">
          <cell r="C93" t="str">
            <v>9250</v>
          </cell>
          <cell r="AL93">
            <v>1.161249567468289</v>
          </cell>
          <cell r="AM93"/>
        </row>
        <row r="94">
          <cell r="C94"/>
          <cell r="AL94"/>
          <cell r="AM94"/>
        </row>
        <row r="95">
          <cell r="C95"/>
          <cell r="AM95"/>
        </row>
        <row r="96">
          <cell r="C96" t="str">
            <v>8560</v>
          </cell>
          <cell r="AM96"/>
          <cell r="AN96">
            <v>-79.065831520791136</v>
          </cell>
        </row>
        <row r="97">
          <cell r="C97" t="str">
            <v>8700</v>
          </cell>
          <cell r="AM97"/>
          <cell r="AN97">
            <v>-232.99119232546752</v>
          </cell>
        </row>
        <row r="98">
          <cell r="C98" t="str">
            <v>8740</v>
          </cell>
          <cell r="AM98"/>
          <cell r="AN98">
            <v>-1464.2201339335329</v>
          </cell>
        </row>
        <row r="99">
          <cell r="C99" t="str">
            <v>8780</v>
          </cell>
          <cell r="AM99"/>
          <cell r="AN99">
            <v>-355.43253901856474</v>
          </cell>
        </row>
        <row r="100">
          <cell r="C100" t="str">
            <v>9020</v>
          </cell>
          <cell r="AM100"/>
          <cell r="AN100">
            <v>-249.58447483396401</v>
          </cell>
        </row>
        <row r="101">
          <cell r="C101" t="str">
            <v>9030</v>
          </cell>
          <cell r="AM101"/>
          <cell r="AN101">
            <v>-44.935747580982977</v>
          </cell>
        </row>
        <row r="102">
          <cell r="C102" t="str">
            <v>9260</v>
          </cell>
          <cell r="AM102"/>
          <cell r="AN102">
            <v>-7490.222483290625</v>
          </cell>
        </row>
        <row r="103">
          <cell r="C103" t="str">
            <v>9030</v>
          </cell>
          <cell r="AM103"/>
          <cell r="AN103">
            <v>24.167789168188499</v>
          </cell>
        </row>
        <row r="104">
          <cell r="C104" t="str">
            <v>9260</v>
          </cell>
          <cell r="AM104"/>
          <cell r="AN104">
            <v>4503.5001554818737</v>
          </cell>
        </row>
        <row r="105">
          <cell r="C105" t="str">
            <v>8560</v>
          </cell>
          <cell r="AM105"/>
          <cell r="AN105">
            <v>4.2115732923408125</v>
          </cell>
        </row>
        <row r="106">
          <cell r="C106" t="str">
            <v>8700</v>
          </cell>
          <cell r="AM106"/>
          <cell r="AN106">
            <v>108.83675261608653</v>
          </cell>
        </row>
        <row r="107">
          <cell r="C107" t="str">
            <v>8740</v>
          </cell>
          <cell r="AM107"/>
          <cell r="AN107">
            <v>829.85388342048464</v>
          </cell>
        </row>
        <row r="108">
          <cell r="C108" t="str">
            <v>8780</v>
          </cell>
          <cell r="AM108"/>
          <cell r="AN108">
            <v>192.07198898574057</v>
          </cell>
        </row>
        <row r="109">
          <cell r="C109" t="str">
            <v>9020</v>
          </cell>
          <cell r="AM109"/>
          <cell r="AN109">
            <v>133.10996289296924</v>
          </cell>
        </row>
        <row r="110">
          <cell r="C110" t="str">
            <v>9260</v>
          </cell>
          <cell r="AM110"/>
          <cell r="AN110">
            <v>-8241.4005932924993</v>
          </cell>
        </row>
        <row r="111">
          <cell r="C111" t="str">
            <v>9260</v>
          </cell>
          <cell r="AM111"/>
          <cell r="AN111">
            <v>-3394.622952624517</v>
          </cell>
        </row>
        <row r="112">
          <cell r="C112" t="str">
            <v>9260</v>
          </cell>
          <cell r="AM112"/>
          <cell r="AN112">
            <v>-522.05587236548013</v>
          </cell>
        </row>
        <row r="113">
          <cell r="C113" t="str">
            <v>9020</v>
          </cell>
          <cell r="AM113"/>
          <cell r="AN113">
            <v>-58.96202609277131</v>
          </cell>
        </row>
        <row r="114">
          <cell r="C114" t="str">
            <v>9030</v>
          </cell>
          <cell r="AM114"/>
          <cell r="AN114">
            <v>-660.72152768664364</v>
          </cell>
        </row>
        <row r="115">
          <cell r="C115" t="str">
            <v>9250</v>
          </cell>
          <cell r="AM115"/>
          <cell r="AN115">
            <v>-1111.9607702866679</v>
          </cell>
        </row>
        <row r="116">
          <cell r="C116" t="str">
            <v>9260</v>
          </cell>
          <cell r="AM116"/>
          <cell r="AN116">
            <v>-13483.33344673508</v>
          </cell>
        </row>
        <row r="117">
          <cell r="C117" t="str">
            <v>8560</v>
          </cell>
          <cell r="AM117"/>
          <cell r="AN117">
            <v>-3.5474203075661652</v>
          </cell>
        </row>
        <row r="118">
          <cell r="C118" t="str">
            <v>8700</v>
          </cell>
          <cell r="AM118"/>
          <cell r="AN118">
            <v>-1300.3482915235395</v>
          </cell>
        </row>
        <row r="119">
          <cell r="C119" t="str">
            <v>8740</v>
          </cell>
          <cell r="AM119"/>
          <cell r="AN119">
            <v>-538.28018099354586</v>
          </cell>
        </row>
        <row r="120">
          <cell r="C120" t="str">
            <v>8750</v>
          </cell>
          <cell r="AM120"/>
          <cell r="AN120">
            <v>-79.065831520791136</v>
          </cell>
        </row>
        <row r="121">
          <cell r="C121" t="str">
            <v>8800</v>
          </cell>
          <cell r="AM121"/>
          <cell r="AN121">
            <v>-63.252665216632892</v>
          </cell>
        </row>
        <row r="122">
          <cell r="C122" t="str">
            <v>9230</v>
          </cell>
          <cell r="AM122"/>
          <cell r="AN122">
            <v>-56.358124708019886</v>
          </cell>
        </row>
        <row r="123">
          <cell r="C123"/>
          <cell r="AM123"/>
        </row>
        <row r="124">
          <cell r="C124"/>
          <cell r="AM124"/>
          <cell r="AN124">
            <v>0</v>
          </cell>
        </row>
        <row r="125">
          <cell r="C125" t="str">
            <v>9240</v>
          </cell>
          <cell r="AM125"/>
          <cell r="AN125">
            <v>-180309.27821440503</v>
          </cell>
        </row>
        <row r="126">
          <cell r="C126" t="str">
            <v>9210</v>
          </cell>
          <cell r="AM126"/>
          <cell r="AN126">
            <v>-1126.974210072894</v>
          </cell>
        </row>
        <row r="127">
          <cell r="C127" t="str">
            <v>9240</v>
          </cell>
          <cell r="AM127"/>
          <cell r="AN127">
            <v>103475.95005383513</v>
          </cell>
        </row>
        <row r="128">
          <cell r="C128" t="str">
            <v>8700</v>
          </cell>
          <cell r="AM128"/>
          <cell r="AN128">
            <v>-4.7654604465042372</v>
          </cell>
        </row>
        <row r="129">
          <cell r="C129" t="str">
            <v>8740</v>
          </cell>
          <cell r="AM129"/>
          <cell r="AN129">
            <v>-1562.203712652125</v>
          </cell>
        </row>
        <row r="130">
          <cell r="C130" t="str">
            <v>8410</v>
          </cell>
          <cell r="AM130"/>
          <cell r="AN130">
            <v>-424.63111854620655</v>
          </cell>
        </row>
        <row r="131">
          <cell r="C131" t="str">
            <v>8700</v>
          </cell>
          <cell r="AM131"/>
          <cell r="AN131">
            <v>-1362.1973377123429</v>
          </cell>
        </row>
        <row r="132">
          <cell r="C132"/>
          <cell r="AM132"/>
        </row>
        <row r="133">
          <cell r="C133"/>
          <cell r="AM133"/>
        </row>
        <row r="134">
          <cell r="C134" t="str">
            <v>8250</v>
          </cell>
          <cell r="AM134">
            <v>35.241356539708192</v>
          </cell>
        </row>
        <row r="135">
          <cell r="C135" t="str">
            <v>8810</v>
          </cell>
          <cell r="AM135">
            <v>39669.737954070733</v>
          </cell>
        </row>
        <row r="136">
          <cell r="C136" t="str">
            <v>8250</v>
          </cell>
          <cell r="AM136">
            <v>-133.70443172567207</v>
          </cell>
        </row>
        <row r="137">
          <cell r="C137" t="str">
            <v>8810</v>
          </cell>
          <cell r="AM137">
            <v>-66993.275982913794</v>
          </cell>
        </row>
        <row r="138">
          <cell r="C138" t="str">
            <v>9310</v>
          </cell>
          <cell r="AM138">
            <v>-1248.1385640400676</v>
          </cell>
        </row>
        <row r="139">
          <cell r="C139" t="str">
            <v>8700</v>
          </cell>
          <cell r="AM139">
            <v>-2847.9196144223642</v>
          </cell>
        </row>
        <row r="140">
          <cell r="C140" t="str">
            <v>8710</v>
          </cell>
          <cell r="AM140">
            <v>-146.60647819167548</v>
          </cell>
        </row>
        <row r="141">
          <cell r="C141" t="str">
            <v>8740</v>
          </cell>
          <cell r="AM141">
            <v>-532.36921271097526</v>
          </cell>
        </row>
        <row r="142">
          <cell r="C142" t="str">
            <v>8750</v>
          </cell>
          <cell r="AM142">
            <v>-584.48130550118185</v>
          </cell>
        </row>
        <row r="143">
          <cell r="C143" t="str">
            <v>8800</v>
          </cell>
          <cell r="AM143">
            <v>-45.182527073605172</v>
          </cell>
        </row>
        <row r="144">
          <cell r="C144" t="str">
            <v>8810</v>
          </cell>
          <cell r="AM144">
            <v>-30153.394778213056</v>
          </cell>
        </row>
        <row r="145">
          <cell r="C145" t="str">
            <v>8860</v>
          </cell>
          <cell r="AM145">
            <v>-2132.0386595458622</v>
          </cell>
        </row>
        <row r="146">
          <cell r="C146" t="str">
            <v>8910</v>
          </cell>
          <cell r="AM146">
            <v>-47.367251062343712</v>
          </cell>
        </row>
        <row r="147">
          <cell r="C147" t="str">
            <v>8740</v>
          </cell>
          <cell r="AM147">
            <v>-112.24780425422841</v>
          </cell>
        </row>
        <row r="148">
          <cell r="C148" t="str">
            <v>8810</v>
          </cell>
          <cell r="AM148">
            <v>-924.5373144666064</v>
          </cell>
        </row>
        <row r="149">
          <cell r="C149" t="str">
            <v>8700</v>
          </cell>
          <cell r="AM149">
            <v>-8102.6390582684398</v>
          </cell>
        </row>
        <row r="150">
          <cell r="C150" t="str">
            <v>8710</v>
          </cell>
          <cell r="AM150">
            <v>-32.102929509445858</v>
          </cell>
        </row>
        <row r="151">
          <cell r="C151" t="str">
            <v>8740</v>
          </cell>
          <cell r="AM151">
            <v>-4192.2908736629906</v>
          </cell>
        </row>
        <row r="152">
          <cell r="C152" t="str">
            <v>8750</v>
          </cell>
          <cell r="AM152">
            <v>-342.8308789851767</v>
          </cell>
        </row>
        <row r="153">
          <cell r="C153" t="str">
            <v>8770</v>
          </cell>
          <cell r="AM153">
            <v>-522.54640957584979</v>
          </cell>
        </row>
        <row r="154">
          <cell r="C154" t="str">
            <v>8780</v>
          </cell>
          <cell r="AM154">
            <v>-891.28453022624853</v>
          </cell>
        </row>
        <row r="155">
          <cell r="C155" t="str">
            <v>8800</v>
          </cell>
          <cell r="AM155">
            <v>-30.437331112458537</v>
          </cell>
        </row>
        <row r="156">
          <cell r="C156" t="str">
            <v>8240</v>
          </cell>
          <cell r="AM156">
            <v>-25.100652390740862</v>
          </cell>
        </row>
        <row r="157">
          <cell r="C157" t="str">
            <v>8250</v>
          </cell>
          <cell r="AM157">
            <v>-629.69934279441713</v>
          </cell>
        </row>
        <row r="158">
          <cell r="C158" t="str">
            <v>8560</v>
          </cell>
          <cell r="AM158">
            <v>-2135.5118972183627</v>
          </cell>
        </row>
        <row r="159">
          <cell r="C159" t="str">
            <v>8570</v>
          </cell>
          <cell r="AM159">
            <v>-642.07888174299023</v>
          </cell>
        </row>
        <row r="160">
          <cell r="C160" t="str">
            <v>8170</v>
          </cell>
          <cell r="AM160">
            <v>-106.81981353917308</v>
          </cell>
        </row>
        <row r="161">
          <cell r="C161" t="str">
            <v>8180</v>
          </cell>
          <cell r="AM161">
            <v>-85.481553466500259</v>
          </cell>
        </row>
        <row r="162">
          <cell r="C162" t="str">
            <v>8190</v>
          </cell>
          <cell r="AM162">
            <v>-70.127610883104353</v>
          </cell>
        </row>
        <row r="163">
          <cell r="C163" t="str">
            <v>8200</v>
          </cell>
          <cell r="AM163">
            <v>-151.31411873706861</v>
          </cell>
        </row>
        <row r="164">
          <cell r="C164" t="str">
            <v>8210</v>
          </cell>
          <cell r="AM164">
            <v>-196.35629589498876</v>
          </cell>
        </row>
        <row r="165">
          <cell r="C165" t="str">
            <v>8860</v>
          </cell>
          <cell r="AM165">
            <v>-5.4127720494988694</v>
          </cell>
        </row>
        <row r="166">
          <cell r="C166" t="str">
            <v>8180</v>
          </cell>
          <cell r="AM166">
            <v>73.725979805732663</v>
          </cell>
        </row>
        <row r="167">
          <cell r="C167" t="str">
            <v>8810</v>
          </cell>
          <cell r="AM167">
            <v>19271.808788785915</v>
          </cell>
        </row>
        <row r="168">
          <cell r="C168" t="str">
            <v>8700</v>
          </cell>
          <cell r="AM168">
            <v>6825.2857292489352</v>
          </cell>
        </row>
        <row r="169">
          <cell r="C169" t="str">
            <v>8800</v>
          </cell>
          <cell r="AM169">
            <v>43.393488389328354</v>
          </cell>
        </row>
        <row r="170">
          <cell r="C170" t="str">
            <v>8560</v>
          </cell>
          <cell r="AM170">
            <v>1292.0105949129957</v>
          </cell>
        </row>
        <row r="171">
          <cell r="C171" t="str">
            <v>8550</v>
          </cell>
          <cell r="AM171">
            <v>-5.0576698531868516</v>
          </cell>
        </row>
        <row r="172">
          <cell r="C172" t="str">
            <v>8810</v>
          </cell>
          <cell r="AM172">
            <v>-1.7873477214371469</v>
          </cell>
        </row>
        <row r="173">
          <cell r="C173"/>
          <cell r="AM173"/>
        </row>
        <row r="174">
          <cell r="C174"/>
        </row>
        <row r="175">
          <cell r="C175" t="str">
            <v>8740</v>
          </cell>
          <cell r="AN175">
            <v>68984.623357367003</v>
          </cell>
        </row>
        <row r="176">
          <cell r="C176" t="str">
            <v>7560</v>
          </cell>
          <cell r="AN176">
            <v>-0.18925804076747266</v>
          </cell>
        </row>
        <row r="177">
          <cell r="C177" t="str">
            <v>8210</v>
          </cell>
          <cell r="AN177">
            <v>-6.2203691720777776E-2</v>
          </cell>
        </row>
        <row r="178">
          <cell r="C178" t="str">
            <v>8560</v>
          </cell>
          <cell r="AN178">
            <v>-115.4434344197507</v>
          </cell>
        </row>
        <row r="179">
          <cell r="C179" t="str">
            <v>8650</v>
          </cell>
          <cell r="AN179">
            <v>-0.2488147668831111</v>
          </cell>
        </row>
        <row r="180">
          <cell r="C180" t="str">
            <v>8700</v>
          </cell>
          <cell r="AN180">
            <v>-79.827188719796368</v>
          </cell>
        </row>
        <row r="181">
          <cell r="C181" t="str">
            <v>8740</v>
          </cell>
          <cell r="AN181">
            <v>-81164.748085454572</v>
          </cell>
        </row>
        <row r="182">
          <cell r="C182" t="str">
            <v>8750</v>
          </cell>
          <cell r="AN182">
            <v>-94.356382926406923</v>
          </cell>
        </row>
        <row r="183">
          <cell r="C183" t="str">
            <v>8780</v>
          </cell>
          <cell r="AN183">
            <v>-178.5219482730281</v>
          </cell>
        </row>
        <row r="184">
          <cell r="C184" t="str">
            <v>9020</v>
          </cell>
          <cell r="AN184">
            <v>-29.44616887437428</v>
          </cell>
        </row>
        <row r="185">
          <cell r="C185" t="str">
            <v>9020</v>
          </cell>
          <cell r="AN185">
            <v>50.428665226314706</v>
          </cell>
        </row>
        <row r="186">
          <cell r="C186" t="str">
            <v>7560</v>
          </cell>
          <cell r="AN186">
            <v>6.4016863160298243</v>
          </cell>
        </row>
        <row r="187">
          <cell r="C187" t="str">
            <v>8210</v>
          </cell>
          <cell r="AN187">
            <v>2.103014173283313</v>
          </cell>
        </row>
        <row r="188">
          <cell r="C188" t="str">
            <v>8560</v>
          </cell>
          <cell r="AN188">
            <v>2463.4342744587339</v>
          </cell>
        </row>
        <row r="189">
          <cell r="C189" t="str">
            <v>8650</v>
          </cell>
          <cell r="AN189">
            <v>1.0587862420557883</v>
          </cell>
        </row>
        <row r="190">
          <cell r="C190" t="str">
            <v>8700</v>
          </cell>
          <cell r="AN190">
            <v>155.96715435163378</v>
          </cell>
        </row>
        <row r="191">
          <cell r="C191" t="str">
            <v>8740</v>
          </cell>
          <cell r="AN191">
            <v>72360.111982526258</v>
          </cell>
        </row>
        <row r="192">
          <cell r="C192" t="str">
            <v>8750</v>
          </cell>
          <cell r="AN192">
            <v>216.77986564691082</v>
          </cell>
        </row>
        <row r="193">
          <cell r="C193" t="str">
            <v>8780</v>
          </cell>
          <cell r="AN193">
            <v>277.8731552963327</v>
          </cell>
        </row>
        <row r="194">
          <cell r="C194" t="str">
            <v>8740</v>
          </cell>
          <cell r="AN194">
            <v>29620.067897217872</v>
          </cell>
        </row>
        <row r="195">
          <cell r="C195" t="str">
            <v>8740</v>
          </cell>
          <cell r="AN195">
            <v>11824.205791923654</v>
          </cell>
        </row>
        <row r="196">
          <cell r="C196" t="str">
            <v>8560</v>
          </cell>
          <cell r="AN196">
            <v>768.37308720511101</v>
          </cell>
        </row>
        <row r="197">
          <cell r="C197" t="str">
            <v>8700</v>
          </cell>
          <cell r="AN197">
            <v>67.745114215137392</v>
          </cell>
        </row>
        <row r="198">
          <cell r="C198" t="str">
            <v>8560</v>
          </cell>
          <cell r="AN198">
            <v>-753.0048049016732</v>
          </cell>
        </row>
        <row r="199">
          <cell r="C199" t="str">
            <v>8700</v>
          </cell>
          <cell r="AN199">
            <v>-66.389867825305828</v>
          </cell>
        </row>
        <row r="200">
          <cell r="C200" t="str">
            <v>8740</v>
          </cell>
          <cell r="AN200">
            <v>-40615.3856742715</v>
          </cell>
        </row>
        <row r="201">
          <cell r="C201"/>
        </row>
        <row r="202">
          <cell r="C202"/>
        </row>
        <row r="203">
          <cell r="C203" t="str">
            <v>8900</v>
          </cell>
          <cell r="AN203">
            <v>-11.227671277877505</v>
          </cell>
        </row>
        <row r="204">
          <cell r="C204" t="str">
            <v>8740</v>
          </cell>
          <cell r="AN204">
            <v>-16347.787049998762</v>
          </cell>
        </row>
        <row r="205">
          <cell r="C205" t="str">
            <v>8750</v>
          </cell>
          <cell r="AN205">
            <v>-38.047834615520003</v>
          </cell>
        </row>
        <row r="206">
          <cell r="C206" t="str">
            <v>8760</v>
          </cell>
          <cell r="AN206">
            <v>-426.33888088853928</v>
          </cell>
        </row>
        <row r="207">
          <cell r="C207" t="str">
            <v>8770</v>
          </cell>
          <cell r="AN207">
            <v>-434.45972119863745</v>
          </cell>
        </row>
        <row r="208">
          <cell r="C208" t="str">
            <v>8560</v>
          </cell>
          <cell r="AN208">
            <v>-444.53111884238206</v>
          </cell>
        </row>
        <row r="209">
          <cell r="C209" t="str">
            <v>8900</v>
          </cell>
          <cell r="AN209">
            <v>-2.2452350903402838</v>
          </cell>
        </row>
        <row r="210">
          <cell r="C210" t="str">
            <v>8740</v>
          </cell>
          <cell r="AN210">
            <v>-2669.5381518031427</v>
          </cell>
        </row>
        <row r="211">
          <cell r="C211" t="str">
            <v>8750</v>
          </cell>
          <cell r="AN211">
            <v>-4.5652614894860477</v>
          </cell>
        </row>
        <row r="212">
          <cell r="C212" t="str">
            <v>8760</v>
          </cell>
          <cell r="AN212">
            <v>-61.521834797205656</v>
          </cell>
        </row>
        <row r="213">
          <cell r="C213" t="str">
            <v>8770</v>
          </cell>
          <cell r="AN213">
            <v>-86.892542570197975</v>
          </cell>
        </row>
        <row r="214">
          <cell r="C214" t="str">
            <v>8560</v>
          </cell>
          <cell r="AN214">
            <v>-53.34415309241524</v>
          </cell>
        </row>
        <row r="215">
          <cell r="C215" t="str">
            <v>8210</v>
          </cell>
          <cell r="AN215">
            <v>-400.95321485378645</v>
          </cell>
        </row>
        <row r="216">
          <cell r="C216" t="str">
            <v>8240</v>
          </cell>
          <cell r="AN216">
            <v>-94.433002323965866</v>
          </cell>
        </row>
        <row r="217">
          <cell r="C217" t="str">
            <v>8340</v>
          </cell>
          <cell r="AN217">
            <v>-200.09965923051323</v>
          </cell>
        </row>
        <row r="218">
          <cell r="C218" t="str">
            <v>8350</v>
          </cell>
          <cell r="AN218">
            <v>-3.5959661273671131</v>
          </cell>
        </row>
        <row r="219">
          <cell r="C219" t="str">
            <v>8160</v>
          </cell>
          <cell r="AN219">
            <v>-507.0372072634691</v>
          </cell>
        </row>
        <row r="220">
          <cell r="C220" t="str">
            <v>8170</v>
          </cell>
          <cell r="AN220">
            <v>-433.28400182421501</v>
          </cell>
        </row>
        <row r="221">
          <cell r="C221" t="str">
            <v>8180</v>
          </cell>
          <cell r="AN221">
            <v>-869.42203999245066</v>
          </cell>
        </row>
        <row r="222">
          <cell r="C222" t="str">
            <v>8870</v>
          </cell>
          <cell r="AN222">
            <v>-173.41112859636883</v>
          </cell>
        </row>
        <row r="223">
          <cell r="C223" t="str">
            <v>8890</v>
          </cell>
          <cell r="AN223">
            <v>-563.1815469575613</v>
          </cell>
        </row>
        <row r="224">
          <cell r="C224" t="str">
            <v>8900</v>
          </cell>
          <cell r="AN224">
            <v>-879.92423557491202</v>
          </cell>
        </row>
        <row r="225">
          <cell r="C225" t="str">
            <v>8910</v>
          </cell>
          <cell r="AN225">
            <v>-1233.8187589282952</v>
          </cell>
        </row>
        <row r="226">
          <cell r="C226" t="str">
            <v>8920</v>
          </cell>
          <cell r="AN226">
            <v>-51.610490554304306</v>
          </cell>
        </row>
        <row r="227">
          <cell r="C227" t="str">
            <v>8930</v>
          </cell>
          <cell r="AN227">
            <v>-27.149245096386494</v>
          </cell>
        </row>
        <row r="228">
          <cell r="C228" t="str">
            <v>8940</v>
          </cell>
          <cell r="AN228">
            <v>-2690.6996047165594</v>
          </cell>
        </row>
        <row r="229">
          <cell r="C229" t="str">
            <v>9020</v>
          </cell>
          <cell r="AN229">
            <v>-30.115468403611487</v>
          </cell>
        </row>
        <row r="230">
          <cell r="C230" t="str">
            <v>9030</v>
          </cell>
          <cell r="AN230">
            <v>-38.266225237231936</v>
          </cell>
        </row>
        <row r="231">
          <cell r="C231" t="str">
            <v>8711</v>
          </cell>
          <cell r="AN231">
            <v>-895.3865907573545</v>
          </cell>
        </row>
        <row r="232">
          <cell r="C232" t="str">
            <v>8740</v>
          </cell>
          <cell r="AN232">
            <v>-14033.802292778244</v>
          </cell>
        </row>
        <row r="233">
          <cell r="C233" t="str">
            <v>8750</v>
          </cell>
          <cell r="AN233">
            <v>-3362.8401219942753</v>
          </cell>
        </row>
        <row r="234">
          <cell r="C234" t="str">
            <v>8760</v>
          </cell>
          <cell r="AN234">
            <v>-394.89661466671987</v>
          </cell>
        </row>
        <row r="235">
          <cell r="C235" t="str">
            <v>8770</v>
          </cell>
          <cell r="AN235">
            <v>-7466.316137696529</v>
          </cell>
        </row>
        <row r="236">
          <cell r="C236" t="str">
            <v>8780</v>
          </cell>
          <cell r="AN236">
            <v>-663.29719292456684</v>
          </cell>
        </row>
        <row r="237">
          <cell r="C237" t="str">
            <v>8790</v>
          </cell>
          <cell r="AN237">
            <v>-63.24053907355551</v>
          </cell>
        </row>
        <row r="238">
          <cell r="C238" t="str">
            <v>8800</v>
          </cell>
          <cell r="AN238">
            <v>-464.62455186606257</v>
          </cell>
        </row>
        <row r="239">
          <cell r="C239" t="str">
            <v>8810</v>
          </cell>
          <cell r="AN239">
            <v>-36.454779737963463</v>
          </cell>
        </row>
        <row r="240">
          <cell r="C240" t="str">
            <v>8560</v>
          </cell>
          <cell r="AN240">
            <v>-1374.8258050716049</v>
          </cell>
        </row>
        <row r="241">
          <cell r="C241" t="str">
            <v>8570</v>
          </cell>
          <cell r="AN241">
            <v>-318.02311582410175</v>
          </cell>
        </row>
        <row r="242">
          <cell r="C242" t="str">
            <v>8650</v>
          </cell>
          <cell r="AN242">
            <v>-4.5069242686177731</v>
          </cell>
        </row>
        <row r="243">
          <cell r="C243" t="str">
            <v>8700</v>
          </cell>
          <cell r="AN243">
            <v>-854.89457617007611</v>
          </cell>
        </row>
        <row r="244">
          <cell r="C244" t="str">
            <v>8740</v>
          </cell>
          <cell r="AN244">
            <v>-47.721342496419766</v>
          </cell>
        </row>
        <row r="245">
          <cell r="C245" t="str">
            <v>8940</v>
          </cell>
          <cell r="AN245">
            <v>-39.814405329505291</v>
          </cell>
        </row>
        <row r="246">
          <cell r="C246" t="str">
            <v>9020</v>
          </cell>
          <cell r="AN246">
            <v>-4.4351246121645147</v>
          </cell>
        </row>
        <row r="247">
          <cell r="C247" t="str">
            <v>9030</v>
          </cell>
          <cell r="AN247">
            <v>-855.59013534196311</v>
          </cell>
        </row>
        <row r="248">
          <cell r="C248" t="str">
            <v>9090</v>
          </cell>
          <cell r="AN248">
            <v>-62.537500770783936</v>
          </cell>
        </row>
        <row r="249">
          <cell r="C249" t="str">
            <v>9110</v>
          </cell>
          <cell r="AN249">
            <v>-25.74915179554813</v>
          </cell>
        </row>
        <row r="250">
          <cell r="C250" t="str">
            <v>8700</v>
          </cell>
          <cell r="AN250">
            <v>-3226.9847012015016</v>
          </cell>
        </row>
        <row r="251">
          <cell r="C251" t="str">
            <v>8740</v>
          </cell>
          <cell r="AN251">
            <v>-828.98836262603436</v>
          </cell>
        </row>
        <row r="252">
          <cell r="C252" t="str">
            <v>8750</v>
          </cell>
          <cell r="AN252">
            <v>-3.169655667175924</v>
          </cell>
        </row>
        <row r="253">
          <cell r="C253" t="str">
            <v>8780</v>
          </cell>
          <cell r="AN253">
            <v>-1176.7664527453071</v>
          </cell>
        </row>
        <row r="254">
          <cell r="C254" t="str">
            <v>8800</v>
          </cell>
          <cell r="AN254">
            <v>-47.74078823670925</v>
          </cell>
        </row>
        <row r="255">
          <cell r="C255" t="str">
            <v>8810</v>
          </cell>
          <cell r="AN255">
            <v>-10.971885001762828</v>
          </cell>
        </row>
        <row r="256">
          <cell r="C256"/>
        </row>
        <row r="257">
          <cell r="C257"/>
        </row>
        <row r="258">
          <cell r="C258" t="str">
            <v>8140</v>
          </cell>
          <cell r="AN258">
            <v>-50</v>
          </cell>
        </row>
        <row r="259">
          <cell r="C259" t="str">
            <v>8700</v>
          </cell>
          <cell r="AN259">
            <v>0</v>
          </cell>
        </row>
        <row r="260">
          <cell r="C260" t="str">
            <v>0000</v>
          </cell>
          <cell r="AN260">
            <v>0</v>
          </cell>
        </row>
        <row r="261">
          <cell r="C261"/>
        </row>
        <row r="262">
          <cell r="C262"/>
        </row>
        <row r="263">
          <cell r="C263" t="str">
            <v>8700</v>
          </cell>
          <cell r="AN263">
            <v>-49848.219434487881</v>
          </cell>
        </row>
        <row r="264">
          <cell r="C264" t="str">
            <v>8700</v>
          </cell>
          <cell r="AN264">
            <v>-2029.2839291738189</v>
          </cell>
        </row>
        <row r="265">
          <cell r="C265" t="str">
            <v>8700</v>
          </cell>
          <cell r="AN265">
            <v>-24409.524114409989</v>
          </cell>
        </row>
        <row r="266">
          <cell r="C266" t="str">
            <v>8700</v>
          </cell>
          <cell r="AN266">
            <v>-1011.9480513104579</v>
          </cell>
        </row>
        <row r="267">
          <cell r="C267" t="str">
            <v>8700</v>
          </cell>
          <cell r="AN267">
            <v>-2574.3902276341028</v>
          </cell>
        </row>
        <row r="268">
          <cell r="C268" t="str">
            <v>9020</v>
          </cell>
          <cell r="AN268">
            <v>-4335.032858657376</v>
          </cell>
        </row>
        <row r="269">
          <cell r="C269" t="str">
            <v>9020</v>
          </cell>
          <cell r="AN269">
            <v>-130.8285392724647</v>
          </cell>
        </row>
        <row r="270">
          <cell r="C270" t="str">
            <v>8700</v>
          </cell>
          <cell r="AN270">
            <v>-47611.700291656649</v>
          </cell>
        </row>
        <row r="271">
          <cell r="C271" t="str">
            <v>8740</v>
          </cell>
          <cell r="AN271">
            <v>-149.45541855561615</v>
          </cell>
        </row>
        <row r="272">
          <cell r="C272" t="str">
            <v>8750</v>
          </cell>
          <cell r="AN272">
            <v>-52.02039430388853</v>
          </cell>
        </row>
        <row r="273">
          <cell r="C273" t="str">
            <v>8940</v>
          </cell>
          <cell r="AN273">
            <v>-466.84863385471192</v>
          </cell>
        </row>
        <row r="274">
          <cell r="C274" t="str">
            <v>8700</v>
          </cell>
          <cell r="AN274">
            <v>-21872.373883333112</v>
          </cell>
        </row>
        <row r="275">
          <cell r="C275" t="str">
            <v>8750</v>
          </cell>
          <cell r="AN275">
            <v>-75.656644890377535</v>
          </cell>
        </row>
        <row r="276">
          <cell r="C276" t="str">
            <v>8780</v>
          </cell>
          <cell r="AN276">
            <v>-269.01975340010921</v>
          </cell>
        </row>
        <row r="277">
          <cell r="C277" t="str">
            <v>8560</v>
          </cell>
          <cell r="AN277">
            <v>-21.860951415800773</v>
          </cell>
        </row>
        <row r="278">
          <cell r="C278" t="str">
            <v>8700</v>
          </cell>
          <cell r="AN278">
            <v>-2905.5385710037626</v>
          </cell>
        </row>
        <row r="279">
          <cell r="C279" t="str">
            <v>8740</v>
          </cell>
          <cell r="AN279">
            <v>-730.32917860209193</v>
          </cell>
        </row>
        <row r="280">
          <cell r="C280" t="str">
            <v>8940</v>
          </cell>
          <cell r="AN280">
            <v>264.72600656867712</v>
          </cell>
        </row>
        <row r="281">
          <cell r="C281" t="str">
            <v>8750</v>
          </cell>
          <cell r="AN281">
            <v>72.50514481217904</v>
          </cell>
        </row>
        <row r="282">
          <cell r="C282" t="str">
            <v>8780</v>
          </cell>
          <cell r="AN282">
            <v>146.86127984495934</v>
          </cell>
        </row>
        <row r="283">
          <cell r="C283" t="str">
            <v>8700</v>
          </cell>
          <cell r="AN283">
            <v>69655.129066788737</v>
          </cell>
        </row>
        <row r="284">
          <cell r="C284" t="str">
            <v>8740</v>
          </cell>
          <cell r="AN284">
            <v>503.03583671769474</v>
          </cell>
        </row>
        <row r="285">
          <cell r="C285" t="str">
            <v>9020</v>
          </cell>
          <cell r="AN285">
            <v>-25.514764825240565</v>
          </cell>
        </row>
        <row r="286">
          <cell r="C286" t="str">
            <v>9020</v>
          </cell>
          <cell r="AN286">
            <v>15.24830605521389</v>
          </cell>
        </row>
        <row r="287">
          <cell r="C287"/>
        </row>
        <row r="288">
          <cell r="C288"/>
        </row>
        <row r="289">
          <cell r="C289" t="str">
            <v>8740</v>
          </cell>
          <cell r="AN289">
            <v>-13.337187312662138</v>
          </cell>
        </row>
        <row r="290">
          <cell r="C290" t="str">
            <v>9120</v>
          </cell>
          <cell r="AN290">
            <v>-64.357021599954805</v>
          </cell>
        </row>
        <row r="291">
          <cell r="C291" t="str">
            <v>9110</v>
          </cell>
          <cell r="AN291">
            <v>-101.95159280931239</v>
          </cell>
        </row>
        <row r="292">
          <cell r="C292" t="str">
            <v>9120</v>
          </cell>
          <cell r="AN292">
            <v>-163.53332907089316</v>
          </cell>
        </row>
        <row r="293">
          <cell r="C293" t="str">
            <v>9130</v>
          </cell>
          <cell r="AN293">
            <v>-216.1912527612767</v>
          </cell>
        </row>
        <row r="294">
          <cell r="C294" t="str">
            <v>8700</v>
          </cell>
          <cell r="AN294">
            <v>-2.4098008702393372</v>
          </cell>
        </row>
        <row r="295">
          <cell r="C295" t="str">
            <v>9302</v>
          </cell>
          <cell r="AN295">
            <v>-15.82847324465024</v>
          </cell>
        </row>
        <row r="296">
          <cell r="C296" t="str">
            <v>9110</v>
          </cell>
          <cell r="AN296">
            <v>-64.109570640380298</v>
          </cell>
        </row>
        <row r="297">
          <cell r="C297" t="str">
            <v>9120</v>
          </cell>
          <cell r="AN297">
            <v>-525.56786349037066</v>
          </cell>
        </row>
        <row r="298">
          <cell r="C298" t="str">
            <v>9130</v>
          </cell>
          <cell r="AN298">
            <v>-372.45383753570968</v>
          </cell>
        </row>
        <row r="299">
          <cell r="C299" t="str">
            <v>9110</v>
          </cell>
          <cell r="AN299">
            <v>-1137.0353617804649</v>
          </cell>
        </row>
        <row r="300">
          <cell r="C300" t="str">
            <v>9120</v>
          </cell>
          <cell r="AN300">
            <v>-803.19286126137013</v>
          </cell>
        </row>
        <row r="301">
          <cell r="C301" t="str">
            <v>9130</v>
          </cell>
          <cell r="AN301">
            <v>-51.875427435651773</v>
          </cell>
        </row>
        <row r="302">
          <cell r="C302" t="str">
            <v>8700</v>
          </cell>
          <cell r="AN302">
            <v>-69.562479074007115</v>
          </cell>
        </row>
        <row r="303">
          <cell r="C303" t="str">
            <v>9260</v>
          </cell>
          <cell r="AN303">
            <v>-5.7201315037729898</v>
          </cell>
        </row>
        <row r="304">
          <cell r="C304" t="str">
            <v>9100</v>
          </cell>
          <cell r="AN304">
            <v>-5.0928163592825513</v>
          </cell>
        </row>
        <row r="305">
          <cell r="C305"/>
        </row>
        <row r="306">
          <cell r="C306"/>
          <cell r="AN306">
            <v>0</v>
          </cell>
        </row>
        <row r="307">
          <cell r="C307" t="str">
            <v>9090</v>
          </cell>
          <cell r="AN307">
            <v>-154.76529421021229</v>
          </cell>
        </row>
        <row r="308">
          <cell r="C308" t="str">
            <v>9110</v>
          </cell>
          <cell r="AN308">
            <v>-57.484252135221737</v>
          </cell>
        </row>
        <row r="309">
          <cell r="C309" t="str">
            <v>8700</v>
          </cell>
          <cell r="AN309">
            <v>-66.327983232948185</v>
          </cell>
        </row>
        <row r="310">
          <cell r="C310" t="str">
            <v>9302</v>
          </cell>
          <cell r="AN310">
            <v>-508.51453811926922</v>
          </cell>
        </row>
        <row r="311">
          <cell r="C311" t="str">
            <v>9302</v>
          </cell>
          <cell r="AN311">
            <v>-10820.03968613534</v>
          </cell>
        </row>
        <row r="312">
          <cell r="C312" t="str">
            <v>9320</v>
          </cell>
          <cell r="AN312">
            <v>-551.88419542251995</v>
          </cell>
        </row>
        <row r="313">
          <cell r="C313" t="str">
            <v>9110</v>
          </cell>
          <cell r="AN313">
            <v>-3.7585857165337302</v>
          </cell>
        </row>
        <row r="314">
          <cell r="C314" t="str">
            <v>9302</v>
          </cell>
          <cell r="AN314">
            <v>-88.437310977264161</v>
          </cell>
        </row>
        <row r="315">
          <cell r="C315" t="str">
            <v>8740</v>
          </cell>
          <cell r="AN315">
            <v>-132.65596646589637</v>
          </cell>
        </row>
        <row r="316">
          <cell r="C316" t="str">
            <v>8700</v>
          </cell>
          <cell r="AN316">
            <v>-4532.4121875847923</v>
          </cell>
        </row>
        <row r="317">
          <cell r="C317"/>
        </row>
        <row r="318">
          <cell r="C318"/>
        </row>
        <row r="319">
          <cell r="C319" t="str">
            <v>8700</v>
          </cell>
          <cell r="AN319">
            <v>369.58306182088472</v>
          </cell>
        </row>
        <row r="320">
          <cell r="C320" t="str">
            <v>8740</v>
          </cell>
          <cell r="AN320">
            <v>484.49732881755654</v>
          </cell>
        </row>
        <row r="321">
          <cell r="C321" t="str">
            <v>8780</v>
          </cell>
          <cell r="AN321">
            <v>22.861465089126625</v>
          </cell>
        </row>
        <row r="322">
          <cell r="C322" t="str">
            <v>8800</v>
          </cell>
          <cell r="AN322">
            <v>1.7986532722564164</v>
          </cell>
        </row>
        <row r="323">
          <cell r="C323" t="str">
            <v>8850</v>
          </cell>
          <cell r="AN323">
            <v>235.64575004645008</v>
          </cell>
        </row>
        <row r="324">
          <cell r="C324" t="str">
            <v>9030</v>
          </cell>
          <cell r="AN324">
            <v>90.110034659699522</v>
          </cell>
        </row>
        <row r="325">
          <cell r="C325" t="str">
            <v>9210</v>
          </cell>
          <cell r="AN325">
            <v>3.7137062940271122</v>
          </cell>
        </row>
        <row r="326">
          <cell r="C326"/>
        </row>
        <row r="327">
          <cell r="C327"/>
        </row>
        <row r="328">
          <cell r="C328" t="str">
            <v>9020</v>
          </cell>
          <cell r="AN328">
            <v>-440.65842821130173</v>
          </cell>
        </row>
        <row r="329">
          <cell r="C329" t="str">
            <v>9030</v>
          </cell>
          <cell r="AN329">
            <v>-606.27714978543099</v>
          </cell>
        </row>
        <row r="330">
          <cell r="C330" t="str">
            <v>9090</v>
          </cell>
          <cell r="AN330">
            <v>-248.12162444087789</v>
          </cell>
        </row>
        <row r="331">
          <cell r="C331" t="str">
            <v>9110</v>
          </cell>
          <cell r="AN331">
            <v>-383.61737857971821</v>
          </cell>
        </row>
        <row r="332">
          <cell r="C332" t="str">
            <v>9210</v>
          </cell>
          <cell r="AN332">
            <v>-16.392175699366646</v>
          </cell>
        </row>
        <row r="333">
          <cell r="C333" t="str">
            <v>9260</v>
          </cell>
          <cell r="AN333">
            <v>-6.0833743315335767</v>
          </cell>
        </row>
        <row r="334">
          <cell r="C334" t="str">
            <v>8410</v>
          </cell>
          <cell r="AN334">
            <v>-8.6103598817287832</v>
          </cell>
        </row>
        <row r="335">
          <cell r="C335" t="str">
            <v>8560</v>
          </cell>
          <cell r="AN335">
            <v>-6.8144426233784827</v>
          </cell>
        </row>
        <row r="336">
          <cell r="C336" t="str">
            <v>8700</v>
          </cell>
          <cell r="AN336">
            <v>-6537.5449694460694</v>
          </cell>
        </row>
        <row r="337">
          <cell r="C337" t="str">
            <v>8740</v>
          </cell>
          <cell r="AN337">
            <v>-1086.9626746544691</v>
          </cell>
        </row>
        <row r="338">
          <cell r="C338" t="str">
            <v>8750</v>
          </cell>
          <cell r="AN338">
            <v>-95.712346911717987</v>
          </cell>
        </row>
        <row r="339">
          <cell r="C339" t="str">
            <v>8780</v>
          </cell>
          <cell r="AN339">
            <v>-434.23093486562811</v>
          </cell>
        </row>
        <row r="340">
          <cell r="C340" t="str">
            <v>8800</v>
          </cell>
          <cell r="AN340">
            <v>-15.433663938947774</v>
          </cell>
        </row>
        <row r="341">
          <cell r="C341" t="str">
            <v>8700</v>
          </cell>
          <cell r="AN341">
            <v>-21.756296984176089</v>
          </cell>
        </row>
        <row r="342">
          <cell r="C342" t="str">
            <v>8780</v>
          </cell>
          <cell r="AN342">
            <v>-5.169169740317443</v>
          </cell>
        </row>
        <row r="343">
          <cell r="C343" t="str">
            <v>9090</v>
          </cell>
          <cell r="AN343">
            <v>-5.116001137274182</v>
          </cell>
        </row>
        <row r="344">
          <cell r="C344" t="str">
            <v>8700</v>
          </cell>
          <cell r="AN344">
            <v>-1887.2284264545342</v>
          </cell>
        </row>
        <row r="345">
          <cell r="C345" t="str">
            <v>8740</v>
          </cell>
          <cell r="AN345">
            <v>-1038.6885369024676</v>
          </cell>
        </row>
        <row r="346">
          <cell r="C346" t="str">
            <v>8780</v>
          </cell>
          <cell r="AN346">
            <v>-843.24222902106339</v>
          </cell>
        </row>
        <row r="347">
          <cell r="C347" t="str">
            <v>8800</v>
          </cell>
          <cell r="AN347">
            <v>-94.43334662739926</v>
          </cell>
        </row>
        <row r="348">
          <cell r="C348" t="str">
            <v>9020</v>
          </cell>
          <cell r="AN348">
            <v>-2812.1509219008185</v>
          </cell>
        </row>
        <row r="349">
          <cell r="C349" t="str">
            <v>9030</v>
          </cell>
          <cell r="AN349">
            <v>-136.89586068564677</v>
          </cell>
        </row>
        <row r="350">
          <cell r="C350" t="str">
            <v>9090</v>
          </cell>
          <cell r="AN350">
            <v>-1089.3774153760205</v>
          </cell>
        </row>
        <row r="351">
          <cell r="C351" t="str">
            <v>9110</v>
          </cell>
          <cell r="AN351">
            <v>-2734.951587187632</v>
          </cell>
        </row>
        <row r="352">
          <cell r="C352" t="str">
            <v>9210</v>
          </cell>
          <cell r="AN352">
            <v>-133.74414404969366</v>
          </cell>
        </row>
        <row r="353">
          <cell r="C353" t="str">
            <v>9090</v>
          </cell>
          <cell r="AN353">
            <v>-444.8912397758013</v>
          </cell>
        </row>
        <row r="354">
          <cell r="C354" t="str">
            <v>9110</v>
          </cell>
          <cell r="AN354">
            <v>-1011.9432526660657</v>
          </cell>
        </row>
        <row r="355">
          <cell r="C355" t="str">
            <v>9210</v>
          </cell>
          <cell r="AN355">
            <v>-125.10424605516255</v>
          </cell>
        </row>
        <row r="356">
          <cell r="C356" t="str">
            <v>9260</v>
          </cell>
          <cell r="AN356">
            <v>-13.566855209873154</v>
          </cell>
        </row>
        <row r="357">
          <cell r="C357" t="str">
            <v>8410</v>
          </cell>
          <cell r="AN357">
            <v>-107.58076063548651</v>
          </cell>
        </row>
        <row r="358">
          <cell r="C358" t="str">
            <v>8560</v>
          </cell>
          <cell r="AN358">
            <v>-33.906799685202373</v>
          </cell>
        </row>
        <row r="359">
          <cell r="C359" t="str">
            <v>8700</v>
          </cell>
          <cell r="AN359">
            <v>-5977.5776729113422</v>
          </cell>
        </row>
        <row r="360">
          <cell r="C360" t="str">
            <v>8740</v>
          </cell>
          <cell r="AN360">
            <v>-2197.9191583378524</v>
          </cell>
        </row>
        <row r="361">
          <cell r="C361" t="str">
            <v>8750</v>
          </cell>
          <cell r="AN361">
            <v>-99.708853573803253</v>
          </cell>
        </row>
        <row r="362">
          <cell r="C362" t="str">
            <v>8780</v>
          </cell>
          <cell r="AN362">
            <v>-1446.9495629927369</v>
          </cell>
        </row>
        <row r="363">
          <cell r="C363" t="str">
            <v>9020</v>
          </cell>
          <cell r="AN363">
            <v>-1585.3740210158794</v>
          </cell>
        </row>
        <row r="364">
          <cell r="C364" t="str">
            <v>9030</v>
          </cell>
          <cell r="AN364">
            <v>-371.43881467153005</v>
          </cell>
        </row>
        <row r="365">
          <cell r="C365" t="str">
            <v>9260</v>
          </cell>
          <cell r="AN365">
            <v>-6.0036214269686923</v>
          </cell>
        </row>
        <row r="366">
          <cell r="C366" t="str">
            <v>8700</v>
          </cell>
          <cell r="AN366">
            <v>-1324.5849768999451</v>
          </cell>
        </row>
        <row r="367">
          <cell r="C367" t="str">
            <v>8740</v>
          </cell>
          <cell r="AN367">
            <v>-222.27429883364994</v>
          </cell>
        </row>
        <row r="368">
          <cell r="C368" t="str">
            <v>8780</v>
          </cell>
          <cell r="AN368">
            <v>-1.476905640090699</v>
          </cell>
        </row>
        <row r="369">
          <cell r="C369" t="str">
            <v>9090</v>
          </cell>
          <cell r="AN369">
            <v>-120.51550023140112</v>
          </cell>
        </row>
        <row r="370">
          <cell r="C370"/>
        </row>
        <row r="371">
          <cell r="C371"/>
        </row>
        <row r="372">
          <cell r="C372" t="str">
            <v>8700</v>
          </cell>
          <cell r="AN372">
            <v>194.64694917065435</v>
          </cell>
        </row>
        <row r="373">
          <cell r="C373" t="str">
            <v>9110</v>
          </cell>
          <cell r="AN373">
            <v>98.830856773090545</v>
          </cell>
        </row>
        <row r="374">
          <cell r="C374" t="str">
            <v>9210</v>
          </cell>
          <cell r="AN374">
            <v>452.55415682177113</v>
          </cell>
        </row>
        <row r="375">
          <cell r="C375" t="str">
            <v>8740</v>
          </cell>
          <cell r="AN375">
            <v>338.68116488370197</v>
          </cell>
        </row>
        <row r="376">
          <cell r="C376" t="str">
            <v>8700</v>
          </cell>
          <cell r="AN376">
            <v>392.0234823029341</v>
          </cell>
        </row>
        <row r="377">
          <cell r="C377" t="str">
            <v>9260</v>
          </cell>
          <cell r="AN377">
            <v>398.32461144817944</v>
          </cell>
        </row>
        <row r="378">
          <cell r="C378" t="str">
            <v>9090</v>
          </cell>
          <cell r="AN378">
            <v>31.188778599669945</v>
          </cell>
        </row>
        <row r="379">
          <cell r="C379"/>
        </row>
        <row r="380">
          <cell r="C380"/>
        </row>
        <row r="381">
          <cell r="C381" t="str">
            <v>9250</v>
          </cell>
          <cell r="AN381">
            <v>-16600.976494008151</v>
          </cell>
        </row>
        <row r="382">
          <cell r="C382" t="str">
            <v>8160</v>
          </cell>
          <cell r="AN382">
            <v>-3543.852376579307</v>
          </cell>
        </row>
        <row r="383">
          <cell r="C383" t="str">
            <v>8180</v>
          </cell>
          <cell r="AN383">
            <v>-72.985444640044989</v>
          </cell>
        </row>
        <row r="384">
          <cell r="C384" t="str">
            <v>8210</v>
          </cell>
          <cell r="AN384">
            <v>-1995.7375246810807</v>
          </cell>
        </row>
        <row r="385">
          <cell r="C385" t="str">
            <v>8310</v>
          </cell>
          <cell r="AN385">
            <v>-300.76419494523998</v>
          </cell>
        </row>
        <row r="386">
          <cell r="C386" t="str">
            <v>8560</v>
          </cell>
          <cell r="AN386">
            <v>-8268.495625405325</v>
          </cell>
        </row>
        <row r="387">
          <cell r="C387" t="str">
            <v>8700</v>
          </cell>
          <cell r="AN387">
            <v>-5232.6847698192432</v>
          </cell>
        </row>
        <row r="388">
          <cell r="C388" t="str">
            <v>8740</v>
          </cell>
          <cell r="AN388">
            <v>-63793.648384969682</v>
          </cell>
        </row>
        <row r="389">
          <cell r="C389" t="str">
            <v>8750</v>
          </cell>
          <cell r="AN389">
            <v>-668.36487765608945</v>
          </cell>
        </row>
        <row r="390">
          <cell r="C390" t="str">
            <v>8760</v>
          </cell>
          <cell r="AN390">
            <v>-106.93838042497464</v>
          </cell>
        </row>
        <row r="391">
          <cell r="C391" t="str">
            <v>8770</v>
          </cell>
          <cell r="AN391">
            <v>-618.23751183188233</v>
          </cell>
        </row>
        <row r="392">
          <cell r="C392" t="str">
            <v>8810</v>
          </cell>
          <cell r="AN392">
            <v>-1208.6710447532732</v>
          </cell>
        </row>
        <row r="393">
          <cell r="C393" t="str">
            <v>8870</v>
          </cell>
          <cell r="AN393">
            <v>-505.95221238566046</v>
          </cell>
        </row>
        <row r="394">
          <cell r="C394" t="str">
            <v>8910</v>
          </cell>
          <cell r="AN394">
            <v>-775.30325808106318</v>
          </cell>
        </row>
        <row r="395">
          <cell r="C395" t="str">
            <v>8940</v>
          </cell>
          <cell r="AN395">
            <v>-3127.947627430498</v>
          </cell>
        </row>
        <row r="396">
          <cell r="C396" t="str">
            <v>9020</v>
          </cell>
          <cell r="AN396">
            <v>-63142.215863123885</v>
          </cell>
        </row>
        <row r="397">
          <cell r="C397" t="str">
            <v>9210</v>
          </cell>
          <cell r="AN397">
            <v>-100.25473164841333</v>
          </cell>
        </row>
        <row r="398">
          <cell r="C398" t="str">
            <v>9230</v>
          </cell>
          <cell r="F398">
            <v>0</v>
          </cell>
          <cell r="G398">
            <v>0</v>
          </cell>
          <cell r="H398">
            <v>0</v>
          </cell>
          <cell r="I398">
            <v>10000</v>
          </cell>
          <cell r="J398">
            <v>0</v>
          </cell>
          <cell r="K398">
            <v>0</v>
          </cell>
          <cell r="L398">
            <v>1382.2501945628312</v>
          </cell>
          <cell r="M398">
            <v>1399.0945264602644</v>
          </cell>
          <cell r="N398">
            <v>1399.0945264602644</v>
          </cell>
          <cell r="O398">
            <v>1399.0945264602644</v>
          </cell>
          <cell r="P398">
            <v>1399.0945264602644</v>
          </cell>
          <cell r="Q398">
            <v>1399.0945264602644</v>
          </cell>
          <cell r="U398">
            <v>1426.0886480907664</v>
          </cell>
          <cell r="V398">
            <v>1426.0886480907664</v>
          </cell>
          <cell r="W398">
            <v>1426.0886480907664</v>
          </cell>
          <cell r="X398">
            <v>1426.0022669015489</v>
          </cell>
          <cell r="Y398">
            <v>1399.0945264602644</v>
          </cell>
          <cell r="Z398">
            <v>1399.0945264602644</v>
          </cell>
          <cell r="AA398">
            <v>1399.0945264602644</v>
          </cell>
          <cell r="AB398">
            <v>1399.0945264602644</v>
          </cell>
          <cell r="AC398">
            <v>1399.0945264602644</v>
          </cell>
          <cell r="AD398">
            <v>1447.0864755030796</v>
          </cell>
          <cell r="AE398">
            <v>1447.0864755030796</v>
          </cell>
          <cell r="AF398">
            <v>1447.0792770706448</v>
          </cell>
          <cell r="AN398">
            <v>-1336.7297553121789</v>
          </cell>
        </row>
        <row r="399">
          <cell r="C399" t="str">
            <v>9030</v>
          </cell>
          <cell r="AN399">
            <v>-105.41985542293969</v>
          </cell>
        </row>
        <row r="400">
          <cell r="C400" t="str">
            <v>8780</v>
          </cell>
          <cell r="AN400">
            <v>-0.60152838989047996</v>
          </cell>
        </row>
        <row r="401">
          <cell r="C401" t="str">
            <v>9280</v>
          </cell>
          <cell r="AN401">
            <v>-876.39879274556915</v>
          </cell>
        </row>
        <row r="402">
          <cell r="C402" t="str">
            <v>9230</v>
          </cell>
          <cell r="F402">
            <v>5000</v>
          </cell>
          <cell r="G402">
            <v>16505.96</v>
          </cell>
          <cell r="H402">
            <v>15128</v>
          </cell>
          <cell r="I402">
            <v>16698.150000000001</v>
          </cell>
          <cell r="J402">
            <v>28801.38</v>
          </cell>
          <cell r="K402">
            <v>17476.47</v>
          </cell>
          <cell r="L402">
            <v>13768.588659039584</v>
          </cell>
          <cell r="M402">
            <v>13936.374981692588</v>
          </cell>
          <cell r="N402">
            <v>13936.374981692588</v>
          </cell>
          <cell r="O402">
            <v>13936.374981692588</v>
          </cell>
          <cell r="P402">
            <v>13936.374981692588</v>
          </cell>
          <cell r="Q402">
            <v>13936.374981692588</v>
          </cell>
          <cell r="U402">
            <v>14205.263319277532</v>
          </cell>
          <cell r="V402">
            <v>14205.263319277532</v>
          </cell>
          <cell r="W402">
            <v>14205.263319277532</v>
          </cell>
          <cell r="X402">
            <v>14204.40287659726</v>
          </cell>
          <cell r="Y402">
            <v>13936.374981692588</v>
          </cell>
          <cell r="Z402">
            <v>13936.374981692588</v>
          </cell>
          <cell r="AA402">
            <v>13936.374981692588</v>
          </cell>
          <cell r="AB402">
            <v>13936.374981692588</v>
          </cell>
          <cell r="AC402">
            <v>13936.374981692588</v>
          </cell>
          <cell r="AD402">
            <v>14414.422594140273</v>
          </cell>
          <cell r="AE402">
            <v>14414.422594140273</v>
          </cell>
          <cell r="AF402">
            <v>14414.350890583584</v>
          </cell>
          <cell r="AN402">
            <v>-13315.159745745594</v>
          </cell>
        </row>
        <row r="403">
          <cell r="C403"/>
        </row>
        <row r="404">
          <cell r="C404"/>
        </row>
        <row r="405">
          <cell r="C405" t="str">
            <v>9040</v>
          </cell>
          <cell r="AJ405">
            <v>-250895.52998466406</v>
          </cell>
        </row>
        <row r="406">
          <cell r="C406"/>
        </row>
        <row r="407">
          <cell r="C407"/>
        </row>
        <row r="408">
          <cell r="C408" t="str">
            <v>8870</v>
          </cell>
          <cell r="AN408">
            <v>-2795.4350744213502</v>
          </cell>
        </row>
        <row r="409">
          <cell r="C409" t="str">
            <v>9090</v>
          </cell>
          <cell r="AN409">
            <v>-40.132657155971032</v>
          </cell>
        </row>
        <row r="410">
          <cell r="C410" t="str">
            <v>9270</v>
          </cell>
          <cell r="AN410">
            <v>-303.57481757636504</v>
          </cell>
        </row>
        <row r="411">
          <cell r="C411" t="str">
            <v>9280</v>
          </cell>
          <cell r="AN411">
            <v>244.94270015080986</v>
          </cell>
        </row>
        <row r="412">
          <cell r="C412" t="str">
            <v>8140</v>
          </cell>
          <cell r="AN412">
            <v>269.81377595848528</v>
          </cell>
        </row>
        <row r="413">
          <cell r="C413" t="str">
            <v>8160</v>
          </cell>
          <cell r="AN413">
            <v>415.88755922328284</v>
          </cell>
        </row>
        <row r="414">
          <cell r="C414" t="str">
            <v>8250</v>
          </cell>
          <cell r="AN414">
            <v>-493.27475893852409</v>
          </cell>
        </row>
        <row r="415">
          <cell r="C415" t="str">
            <v>8700</v>
          </cell>
          <cell r="AN415">
            <v>-4386.7200194834968</v>
          </cell>
        </row>
        <row r="416">
          <cell r="C416" t="str">
            <v>8740</v>
          </cell>
          <cell r="AN416">
            <v>-21577.206196502328</v>
          </cell>
        </row>
        <row r="417">
          <cell r="C417" t="str">
            <v>8750</v>
          </cell>
          <cell r="AN417">
            <v>-66.007286079601357</v>
          </cell>
        </row>
        <row r="418">
          <cell r="C418" t="str">
            <v>9210</v>
          </cell>
          <cell r="AN418">
            <v>284.6303856421593</v>
          </cell>
        </row>
        <row r="419">
          <cell r="C419" t="str">
            <v>8700</v>
          </cell>
          <cell r="AN419">
            <v>5418.3536877207143</v>
          </cell>
        </row>
        <row r="420">
          <cell r="C420" t="str">
            <v>8940</v>
          </cell>
          <cell r="AN420">
            <v>2908.9975237220988</v>
          </cell>
        </row>
        <row r="421">
          <cell r="C421" t="str">
            <v>9302</v>
          </cell>
          <cell r="AN421">
            <v>-94.674822259898633</v>
          </cell>
        </row>
        <row r="436">
          <cell r="D436">
            <v>7560</v>
          </cell>
          <cell r="E436"/>
          <cell r="F436">
            <v>46.94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8.915354938543171</v>
          </cell>
          <cell r="M436">
            <v>8.8377941224042225</v>
          </cell>
          <cell r="N436">
            <v>8.3011196961340818</v>
          </cell>
          <cell r="O436">
            <v>8.3669483782588046</v>
          </cell>
          <cell r="P436">
            <v>8.2476765586461607</v>
          </cell>
          <cell r="Q436">
            <v>7.8998085451070725</v>
          </cell>
          <cell r="R436">
            <v>8.6376749287450689</v>
          </cell>
          <cell r="S436">
            <v>9.7164149065414307</v>
          </cell>
          <cell r="T436">
            <v>8.3865780036485287</v>
          </cell>
          <cell r="U436">
            <v>8.5329614878992057</v>
          </cell>
          <cell r="V436">
            <v>9.1419011785462647</v>
          </cell>
          <cell r="W436">
            <v>8.8622999464698538</v>
          </cell>
          <cell r="X436">
            <v>8.7899527619551812</v>
          </cell>
          <cell r="Y436">
            <v>8.8377941224042225</v>
          </cell>
          <cell r="Z436">
            <v>8.3011196961340818</v>
          </cell>
          <cell r="AA436">
            <v>8.3669483782588046</v>
          </cell>
          <cell r="AB436">
            <v>8.2476765586461607</v>
          </cell>
          <cell r="AC436">
            <v>7.8998085451070725</v>
          </cell>
          <cell r="AD436">
            <v>8.6376749287450689</v>
          </cell>
          <cell r="AE436">
            <v>9.7164149065414307</v>
          </cell>
          <cell r="AF436">
            <v>8.3865780036485287</v>
          </cell>
        </row>
        <row r="437">
          <cell r="D437">
            <v>7590</v>
          </cell>
          <cell r="E437"/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D438">
            <v>8140</v>
          </cell>
          <cell r="E438"/>
          <cell r="F438">
            <v>-284.99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22.330420019296159</v>
          </cell>
          <cell r="M438">
            <v>-6.1132019446031638</v>
          </cell>
          <cell r="N438">
            <v>-6.1132019446031638</v>
          </cell>
          <cell r="O438">
            <v>-6.1132019446031638</v>
          </cell>
          <cell r="P438">
            <v>-6.1132019446031638</v>
          </cell>
          <cell r="Q438">
            <v>-6.1132019446031638</v>
          </cell>
          <cell r="R438">
            <v>-6.1132019446031638</v>
          </cell>
          <cell r="S438">
            <v>-6.1132019446031638</v>
          </cell>
          <cell r="T438">
            <v>-6.1132019446031638</v>
          </cell>
          <cell r="U438">
            <v>-6.1132019446031638</v>
          </cell>
          <cell r="V438">
            <v>-6.1132019446031638</v>
          </cell>
          <cell r="W438">
            <v>-6.1132019446031638</v>
          </cell>
          <cell r="X438">
            <v>-6.1665923545996977</v>
          </cell>
          <cell r="Y438">
            <v>-6.1132019446031638</v>
          </cell>
          <cell r="Z438">
            <v>-6.1132019446031638</v>
          </cell>
          <cell r="AA438">
            <v>-6.1132019446031638</v>
          </cell>
          <cell r="AB438">
            <v>-6.1132019446031638</v>
          </cell>
          <cell r="AC438">
            <v>-6.1132019446031638</v>
          </cell>
          <cell r="AD438">
            <v>-6.1132019446031638</v>
          </cell>
          <cell r="AE438">
            <v>-6.1132019446031638</v>
          </cell>
          <cell r="AF438">
            <v>-6.1132019446031638</v>
          </cell>
        </row>
        <row r="439">
          <cell r="D439">
            <v>8150</v>
          </cell>
          <cell r="E439"/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D440">
            <v>8160</v>
          </cell>
          <cell r="E440"/>
          <cell r="F440">
            <v>8712.23</v>
          </cell>
          <cell r="G440">
            <v>19621.62</v>
          </cell>
          <cell r="H440">
            <v>1888.71</v>
          </cell>
          <cell r="I440">
            <v>1878.57</v>
          </cell>
          <cell r="J440">
            <v>3796.64</v>
          </cell>
          <cell r="K440">
            <v>14701.060000000001</v>
          </cell>
          <cell r="L440">
            <v>7593.7941276976335</v>
          </cell>
          <cell r="M440">
            <v>7526.715083818478</v>
          </cell>
          <cell r="N440">
            <v>7391.6658411395447</v>
          </cell>
          <cell r="O440">
            <v>7692.4149339293645</v>
          </cell>
          <cell r="P440">
            <v>7389.9760570054805</v>
          </cell>
          <cell r="Q440">
            <v>7465.1026933774174</v>
          </cell>
          <cell r="R440">
            <v>7803.7839790090629</v>
          </cell>
          <cell r="S440">
            <v>7538.1870112299666</v>
          </cell>
          <cell r="T440">
            <v>7654.7087481698227</v>
          </cell>
          <cell r="U440">
            <v>7724.1798474401849</v>
          </cell>
          <cell r="V440">
            <v>7584.4239057910418</v>
          </cell>
          <cell r="W440">
            <v>7771.4404543842311</v>
          </cell>
          <cell r="X440">
            <v>7654.8688171620433</v>
          </cell>
          <cell r="Y440">
            <v>7628.922544987844</v>
          </cell>
          <cell r="Z440">
            <v>7489.7638815541386</v>
          </cell>
          <cell r="AA440">
            <v>7798.7318158535008</v>
          </cell>
          <cell r="AB440">
            <v>7488.0740974200744</v>
          </cell>
          <cell r="AC440">
            <v>7563.2007337920113</v>
          </cell>
          <cell r="AD440">
            <v>7910.1008609331993</v>
          </cell>
          <cell r="AE440">
            <v>7636.2850516445606</v>
          </cell>
          <cell r="AF440">
            <v>7756.9162093391888</v>
          </cell>
        </row>
        <row r="441">
          <cell r="D441">
            <v>8170</v>
          </cell>
          <cell r="E441"/>
          <cell r="F441">
            <v>8336.66</v>
          </cell>
          <cell r="G441">
            <v>4065.4399999999996</v>
          </cell>
          <cell r="H441">
            <v>1563.6000000000001</v>
          </cell>
          <cell r="I441">
            <v>2088.59</v>
          </cell>
          <cell r="J441">
            <v>2578.9299999999998</v>
          </cell>
          <cell r="K441">
            <v>538.5</v>
          </cell>
          <cell r="L441">
            <v>3080.0985025229611</v>
          </cell>
          <cell r="M441">
            <v>2967.7301136235565</v>
          </cell>
          <cell r="N441">
            <v>2866.4260001525176</v>
          </cell>
          <cell r="O441">
            <v>3097.9505104991285</v>
          </cell>
          <cell r="P441">
            <v>2868.0780769795465</v>
          </cell>
          <cell r="Q441">
            <v>2935.2038411403068</v>
          </cell>
          <cell r="R441">
            <v>3077.4691376518949</v>
          </cell>
          <cell r="S441">
            <v>2885.978137023435</v>
          </cell>
          <cell r="T441">
            <v>2970.3332035468034</v>
          </cell>
          <cell r="U441">
            <v>3075.6659633699819</v>
          </cell>
          <cell r="V441">
            <v>2971.9310262555946</v>
          </cell>
          <cell r="W441">
            <v>3097.1717375652397</v>
          </cell>
          <cell r="X441">
            <v>3021.8272444521544</v>
          </cell>
          <cell r="Y441">
            <v>3043.3731036870918</v>
          </cell>
          <cell r="Z441">
            <v>2939.0276381487611</v>
          </cell>
          <cell r="AA441">
            <v>3176.6348526299553</v>
          </cell>
          <cell r="AB441">
            <v>2940.6797149757899</v>
          </cell>
          <cell r="AC441">
            <v>3007.8054791365503</v>
          </cell>
          <cell r="AD441">
            <v>3156.1534797827212</v>
          </cell>
          <cell r="AE441">
            <v>2958.5797750196784</v>
          </cell>
          <cell r="AF441">
            <v>3045.9761936103387</v>
          </cell>
        </row>
        <row r="442">
          <cell r="D442">
            <v>8180</v>
          </cell>
          <cell r="E442"/>
          <cell r="F442">
            <v>2110.71</v>
          </cell>
          <cell r="G442">
            <v>4870.84</v>
          </cell>
          <cell r="H442">
            <v>3731.9700000000003</v>
          </cell>
          <cell r="I442">
            <v>-260.41000000000003</v>
          </cell>
          <cell r="J442">
            <v>2552.64</v>
          </cell>
          <cell r="K442">
            <v>1489.79</v>
          </cell>
          <cell r="L442">
            <v>2180.7374395101324</v>
          </cell>
          <cell r="M442">
            <v>2106.6073012938728</v>
          </cell>
          <cell r="N442">
            <v>2057.4622556698146</v>
          </cell>
          <cell r="O442">
            <v>2208.6090535181556</v>
          </cell>
          <cell r="P442">
            <v>2054.9054886632402</v>
          </cell>
          <cell r="Q442">
            <v>2184.0480395362933</v>
          </cell>
          <cell r="R442">
            <v>2183.2649284326135</v>
          </cell>
          <cell r="S442">
            <v>2093.4937584626664</v>
          </cell>
          <cell r="T442">
            <v>2110.7771552636709</v>
          </cell>
          <cell r="U442">
            <v>2324.0011363156045</v>
          </cell>
          <cell r="V442">
            <v>2266.9605814594679</v>
          </cell>
          <cell r="W442">
            <v>2222.0881120995386</v>
          </cell>
          <cell r="X442">
            <v>2206.2458007459081</v>
          </cell>
          <cell r="Y442">
            <v>2145.6183437172594</v>
          </cell>
          <cell r="Z442">
            <v>2094.9047943306991</v>
          </cell>
          <cell r="AA442">
            <v>2249.1885997040445</v>
          </cell>
          <cell r="AB442">
            <v>2092.3480273241248</v>
          </cell>
          <cell r="AC442">
            <v>2221.4905781971779</v>
          </cell>
          <cell r="AD442">
            <v>2223.8444746185023</v>
          </cell>
          <cell r="AE442">
            <v>2130.936297123551</v>
          </cell>
          <cell r="AF442">
            <v>2149.7881976870581</v>
          </cell>
        </row>
        <row r="443">
          <cell r="D443">
            <v>8190</v>
          </cell>
          <cell r="E443"/>
          <cell r="F443">
            <v>88.48</v>
          </cell>
          <cell r="G443">
            <v>80.42</v>
          </cell>
          <cell r="H443">
            <v>77.91</v>
          </cell>
          <cell r="I443">
            <v>3.04</v>
          </cell>
          <cell r="J443">
            <v>82.04</v>
          </cell>
          <cell r="K443">
            <v>82.83</v>
          </cell>
          <cell r="L443">
            <v>59.600108295014302</v>
          </cell>
          <cell r="M443">
            <v>57.353516188728236</v>
          </cell>
          <cell r="N443">
            <v>56.318726135819681</v>
          </cell>
          <cell r="O443">
            <v>60.176679992193883</v>
          </cell>
          <cell r="P443">
            <v>58.351305405418366</v>
          </cell>
          <cell r="Q443">
            <v>60.272882166361782</v>
          </cell>
          <cell r="R443">
            <v>55.630510582157022</v>
          </cell>
          <cell r="S443">
            <v>58.334038348516437</v>
          </cell>
          <cell r="T443">
            <v>58.625111593434696</v>
          </cell>
          <cell r="U443">
            <v>57.58292137328246</v>
          </cell>
          <cell r="V443">
            <v>57.592788262940701</v>
          </cell>
          <cell r="W443">
            <v>55.480040514868769</v>
          </cell>
          <cell r="X443">
            <v>60.947086736709757</v>
          </cell>
          <cell r="Y443">
            <v>57.353516188728236</v>
          </cell>
          <cell r="Z443">
            <v>56.318726135819681</v>
          </cell>
          <cell r="AA443">
            <v>60.176679992193883</v>
          </cell>
          <cell r="AB443">
            <v>58.351305405418366</v>
          </cell>
          <cell r="AC443">
            <v>60.272882166361782</v>
          </cell>
          <cell r="AD443">
            <v>55.630510582157022</v>
          </cell>
          <cell r="AE443">
            <v>58.334038348516437</v>
          </cell>
          <cell r="AF443">
            <v>58.625111593434696</v>
          </cell>
        </row>
        <row r="444">
          <cell r="D444">
            <v>8200</v>
          </cell>
          <cell r="E444"/>
          <cell r="F444">
            <v>925.36</v>
          </cell>
          <cell r="G444">
            <v>375.88</v>
          </cell>
          <cell r="H444">
            <v>-50.620000000000005</v>
          </cell>
          <cell r="I444">
            <v>94.17</v>
          </cell>
          <cell r="J444">
            <v>94.56</v>
          </cell>
          <cell r="K444">
            <v>86.6</v>
          </cell>
          <cell r="L444">
            <v>234.21755634862498</v>
          </cell>
          <cell r="M444">
            <v>225.47507267761188</v>
          </cell>
          <cell r="N444">
            <v>219.15234415944957</v>
          </cell>
          <cell r="O444">
            <v>235.65656944169558</v>
          </cell>
          <cell r="P444">
            <v>223.5380338624002</v>
          </cell>
          <cell r="Q444">
            <v>227.68421381215569</v>
          </cell>
          <cell r="R444">
            <v>225.84731443861546</v>
          </cell>
          <cell r="S444">
            <v>223.50077678968094</v>
          </cell>
          <cell r="T444">
            <v>228.21878996143596</v>
          </cell>
          <cell r="U444">
            <v>225.9700595008818</v>
          </cell>
          <cell r="V444">
            <v>221.90138388223352</v>
          </cell>
          <cell r="W444">
            <v>225.52264566206208</v>
          </cell>
          <cell r="X444">
            <v>233.2289082031611</v>
          </cell>
          <cell r="Y444">
            <v>228.52677997756399</v>
          </cell>
          <cell r="Z444">
            <v>222.08135249816701</v>
          </cell>
          <cell r="AA444">
            <v>238.83097570288231</v>
          </cell>
          <cell r="AB444">
            <v>226.46704220111764</v>
          </cell>
          <cell r="AC444">
            <v>230.61322215087313</v>
          </cell>
          <cell r="AD444">
            <v>229.02172069980219</v>
          </cell>
          <cell r="AE444">
            <v>226.42978512839841</v>
          </cell>
          <cell r="AF444">
            <v>231.27049726138807</v>
          </cell>
        </row>
        <row r="445">
          <cell r="D445">
            <v>8210</v>
          </cell>
          <cell r="E445"/>
          <cell r="F445">
            <v>12439.340000000002</v>
          </cell>
          <cell r="G445">
            <v>-1434.74</v>
          </cell>
          <cell r="H445">
            <v>-238.72</v>
          </cell>
          <cell r="I445">
            <v>459.40999999999997</v>
          </cell>
          <cell r="J445">
            <v>425.49</v>
          </cell>
          <cell r="K445">
            <v>14630.41</v>
          </cell>
          <cell r="L445">
            <v>3831.2966154324054</v>
          </cell>
          <cell r="M445">
            <v>3792.4032994337135</v>
          </cell>
          <cell r="N445">
            <v>3742.2908847945664</v>
          </cell>
          <cell r="O445">
            <v>3871.4299463369716</v>
          </cell>
          <cell r="P445">
            <v>3746.6282790941887</v>
          </cell>
          <cell r="Q445">
            <v>3811.3027844055759</v>
          </cell>
          <cell r="R445">
            <v>3917.8966611190995</v>
          </cell>
          <cell r="S445">
            <v>3835.3031308994268</v>
          </cell>
          <cell r="T445">
            <v>3868.0732158137143</v>
          </cell>
          <cell r="U445">
            <v>3932.806246963356</v>
          </cell>
          <cell r="V445">
            <v>3882.2732480834657</v>
          </cell>
          <cell r="W445">
            <v>3904.643909067895</v>
          </cell>
          <cell r="X445">
            <v>3887.6179400797801</v>
          </cell>
          <cell r="Y445">
            <v>3828.640625165242</v>
          </cell>
          <cell r="Z445">
            <v>3777.0712286506541</v>
          </cell>
          <cell r="AA445">
            <v>3909.1242539439404</v>
          </cell>
          <cell r="AB445">
            <v>3781.4086229502764</v>
          </cell>
          <cell r="AC445">
            <v>3846.0831282616637</v>
          </cell>
          <cell r="AD445">
            <v>3955.5909687260687</v>
          </cell>
          <cell r="AE445">
            <v>3870.0834747555145</v>
          </cell>
          <cell r="AF445">
            <v>3904.3105415452428</v>
          </cell>
        </row>
        <row r="446">
          <cell r="D446">
            <v>8240</v>
          </cell>
          <cell r="E446"/>
          <cell r="F446">
            <v>651.09</v>
          </cell>
          <cell r="G446">
            <v>30.549999999999997</v>
          </cell>
          <cell r="H446">
            <v>25.48</v>
          </cell>
          <cell r="I446">
            <v>52.61</v>
          </cell>
          <cell r="J446">
            <v>20.02</v>
          </cell>
          <cell r="K446">
            <v>0</v>
          </cell>
          <cell r="L446">
            <v>102.26398890354869</v>
          </cell>
          <cell r="M446">
            <v>98.757307539375049</v>
          </cell>
          <cell r="N446">
            <v>98.746649160319009</v>
          </cell>
          <cell r="O446">
            <v>105.11658916523702</v>
          </cell>
          <cell r="P446">
            <v>99.159453310784343</v>
          </cell>
          <cell r="Q446">
            <v>113.83917920073242</v>
          </cell>
          <cell r="R446">
            <v>100.5347746805683</v>
          </cell>
          <cell r="S446">
            <v>103.06027190373716</v>
          </cell>
          <cell r="T446">
            <v>99.357637227610212</v>
          </cell>
          <cell r="U446">
            <v>122.28756794177505</v>
          </cell>
          <cell r="V446">
            <v>121.77422395597529</v>
          </cell>
          <cell r="W446">
            <v>104.8249954743697</v>
          </cell>
          <cell r="X446">
            <v>110.64086300480642</v>
          </cell>
          <cell r="Y446">
            <v>98.757307539375049</v>
          </cell>
          <cell r="Z446">
            <v>98.746649160319009</v>
          </cell>
          <cell r="AA446">
            <v>105.11658916523702</v>
          </cell>
          <cell r="AB446">
            <v>99.159453310784343</v>
          </cell>
          <cell r="AC446">
            <v>113.83917920073242</v>
          </cell>
          <cell r="AD446">
            <v>100.5347746805683</v>
          </cell>
          <cell r="AE446">
            <v>103.06027190373716</v>
          </cell>
          <cell r="AF446">
            <v>99.357637227610212</v>
          </cell>
        </row>
        <row r="447">
          <cell r="D447">
            <v>8250</v>
          </cell>
          <cell r="E447"/>
          <cell r="F447">
            <v>2468.6699999999996</v>
          </cell>
          <cell r="G447">
            <v>1059.6300000000001</v>
          </cell>
          <cell r="H447">
            <v>354.31000000000006</v>
          </cell>
          <cell r="I447">
            <v>698.0200000000001</v>
          </cell>
          <cell r="J447">
            <v>133.5</v>
          </cell>
          <cell r="K447">
            <v>113.09</v>
          </cell>
          <cell r="L447">
            <v>669.43689079989656</v>
          </cell>
          <cell r="M447">
            <v>606.70017879029103</v>
          </cell>
          <cell r="N447">
            <v>595.95554885724027</v>
          </cell>
          <cell r="O447">
            <v>636.01419299381087</v>
          </cell>
          <cell r="P447">
            <v>617.06061456602174</v>
          </cell>
          <cell r="Q447">
            <v>637.01309780284305</v>
          </cell>
          <cell r="R447">
            <v>588.80953753108724</v>
          </cell>
          <cell r="S447">
            <v>616.88132395927232</v>
          </cell>
          <cell r="T447">
            <v>619.90365133019009</v>
          </cell>
          <cell r="U447">
            <v>609.08218256567534</v>
          </cell>
          <cell r="V447">
            <v>609.18463434096066</v>
          </cell>
          <cell r="W447">
            <v>587.24714795798582</v>
          </cell>
          <cell r="X447">
            <v>644.11123619581826</v>
          </cell>
          <cell r="Y447">
            <v>606.70017879029103</v>
          </cell>
          <cell r="Z447">
            <v>595.95554885724027</v>
          </cell>
          <cell r="AA447">
            <v>636.01419299381087</v>
          </cell>
          <cell r="AB447">
            <v>617.06061456602174</v>
          </cell>
          <cell r="AC447">
            <v>637.01309780284305</v>
          </cell>
          <cell r="AD447">
            <v>588.80953753108724</v>
          </cell>
          <cell r="AE447">
            <v>616.88132395927232</v>
          </cell>
          <cell r="AF447">
            <v>619.90365133019009</v>
          </cell>
        </row>
        <row r="448">
          <cell r="D448">
            <v>8310</v>
          </cell>
          <cell r="E448"/>
          <cell r="F448">
            <v>600</v>
          </cell>
          <cell r="G448">
            <v>0</v>
          </cell>
          <cell r="H448">
            <v>750</v>
          </cell>
          <cell r="I448">
            <v>0</v>
          </cell>
          <cell r="J448">
            <v>300</v>
          </cell>
          <cell r="K448">
            <v>600</v>
          </cell>
          <cell r="L448">
            <v>311.00629377663699</v>
          </cell>
          <cell r="M448">
            <v>314.79626845355949</v>
          </cell>
          <cell r="N448">
            <v>314.79626845355949</v>
          </cell>
          <cell r="O448">
            <v>314.79626845355949</v>
          </cell>
          <cell r="P448">
            <v>314.79626845355949</v>
          </cell>
          <cell r="Q448">
            <v>314.79626845355949</v>
          </cell>
          <cell r="R448">
            <v>325.59445698819292</v>
          </cell>
          <cell r="S448">
            <v>325.59445698819292</v>
          </cell>
          <cell r="T448">
            <v>325.59283734089507</v>
          </cell>
          <cell r="U448">
            <v>320.86994582042246</v>
          </cell>
          <cell r="V448">
            <v>320.86994582042246</v>
          </cell>
          <cell r="W448">
            <v>320.86994582042246</v>
          </cell>
          <cell r="X448">
            <v>320.85051005284851</v>
          </cell>
          <cell r="Y448">
            <v>314.79626845355949</v>
          </cell>
          <cell r="Z448">
            <v>314.79626845355949</v>
          </cell>
          <cell r="AA448">
            <v>314.79626845355949</v>
          </cell>
          <cell r="AB448">
            <v>314.79626845355949</v>
          </cell>
          <cell r="AC448">
            <v>314.79626845355949</v>
          </cell>
          <cell r="AD448">
            <v>325.59445698819292</v>
          </cell>
          <cell r="AE448">
            <v>325.59445698819292</v>
          </cell>
          <cell r="AF448">
            <v>325.59283734089507</v>
          </cell>
        </row>
        <row r="449">
          <cell r="D449">
            <v>8320</v>
          </cell>
          <cell r="E449"/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</row>
        <row r="450">
          <cell r="D450">
            <v>8340</v>
          </cell>
          <cell r="E450"/>
          <cell r="F450">
            <v>17.850000000000023</v>
          </cell>
          <cell r="G450">
            <v>654.18000000000006</v>
          </cell>
          <cell r="H450">
            <v>758.91</v>
          </cell>
          <cell r="I450">
            <v>512.27</v>
          </cell>
          <cell r="J450">
            <v>-132.81</v>
          </cell>
          <cell r="K450">
            <v>0</v>
          </cell>
          <cell r="L450">
            <v>250.59512338466823</v>
          </cell>
          <cell r="M450">
            <v>241.95126671779744</v>
          </cell>
          <cell r="N450">
            <v>239.65025787046426</v>
          </cell>
          <cell r="O450">
            <v>256.34838215155514</v>
          </cell>
          <cell r="P450">
            <v>238.98339314228315</v>
          </cell>
          <cell r="Q450">
            <v>268.63173871102919</v>
          </cell>
          <cell r="R450">
            <v>250.08768035302882</v>
          </cell>
          <cell r="S450">
            <v>247.26216371317378</v>
          </cell>
          <cell r="T450">
            <v>242.25891791182821</v>
          </cell>
          <cell r="U450">
            <v>291.63693455376801</v>
          </cell>
          <cell r="V450">
            <v>287.47845085735457</v>
          </cell>
          <cell r="W450">
            <v>259.29260407842963</v>
          </cell>
          <cell r="X450">
            <v>264.40654277938745</v>
          </cell>
          <cell r="Y450">
            <v>244.23689205496743</v>
          </cell>
          <cell r="Z450">
            <v>241.8439858442643</v>
          </cell>
          <cell r="AA450">
            <v>258.72590485209503</v>
          </cell>
          <cell r="AB450">
            <v>241.17712111608319</v>
          </cell>
          <cell r="AC450">
            <v>270.82546668482922</v>
          </cell>
          <cell r="AD450">
            <v>252.4652030535687</v>
          </cell>
          <cell r="AE450">
            <v>249.45589168697381</v>
          </cell>
          <cell r="AF450">
            <v>244.5445432489982</v>
          </cell>
        </row>
        <row r="451">
          <cell r="D451">
            <v>8350</v>
          </cell>
          <cell r="E451"/>
          <cell r="F451">
            <v>1062.48</v>
          </cell>
          <cell r="G451">
            <v>-398.43</v>
          </cell>
          <cell r="H451">
            <v>0</v>
          </cell>
          <cell r="I451">
            <v>536.30999999999995</v>
          </cell>
          <cell r="J451">
            <v>-132.81</v>
          </cell>
          <cell r="K451">
            <v>173.45</v>
          </cell>
          <cell r="L451">
            <v>206.74459526628411</v>
          </cell>
          <cell r="M451">
            <v>199.1309755419453</v>
          </cell>
          <cell r="N451">
            <v>191.25805437137038</v>
          </cell>
          <cell r="O451">
            <v>207.22127434187294</v>
          </cell>
          <cell r="P451">
            <v>191.24607022815246</v>
          </cell>
          <cell r="Q451">
            <v>191.77887696459405</v>
          </cell>
          <cell r="R451">
            <v>207.10876404731462</v>
          </cell>
          <cell r="S451">
            <v>191.39484698601225</v>
          </cell>
          <cell r="T451">
            <v>199.13650430334866</v>
          </cell>
          <cell r="U451">
            <v>200.02387050858761</v>
          </cell>
          <cell r="V451">
            <v>192.11756888816376</v>
          </cell>
          <cell r="W451">
            <v>207.27418458850309</v>
          </cell>
          <cell r="X451">
            <v>199.53451651951954</v>
          </cell>
          <cell r="Y451">
            <v>205.01553721225585</v>
          </cell>
          <cell r="Z451">
            <v>196.90601746478609</v>
          </cell>
          <cell r="AA451">
            <v>213.34243458907835</v>
          </cell>
          <cell r="AB451">
            <v>196.89403332156817</v>
          </cell>
          <cell r="AC451">
            <v>197.42684005800976</v>
          </cell>
          <cell r="AD451">
            <v>213.22992429452003</v>
          </cell>
          <cell r="AE451">
            <v>197.04281007942797</v>
          </cell>
          <cell r="AF451">
            <v>205.0210659736592</v>
          </cell>
        </row>
        <row r="452">
          <cell r="D452">
            <v>8360</v>
          </cell>
          <cell r="E452"/>
          <cell r="F452">
            <v>0</v>
          </cell>
          <cell r="G452">
            <v>0</v>
          </cell>
          <cell r="H452">
            <v>147.57</v>
          </cell>
          <cell r="I452">
            <v>-21.08</v>
          </cell>
          <cell r="J452">
            <v>0</v>
          </cell>
          <cell r="K452">
            <v>0</v>
          </cell>
          <cell r="L452">
            <v>21.168569958337894</v>
          </cell>
          <cell r="M452">
            <v>20.387912110986417</v>
          </cell>
          <cell r="N452">
            <v>19.568182237875604</v>
          </cell>
          <cell r="O452">
            <v>21.207641984097229</v>
          </cell>
          <cell r="P452">
            <v>19.568182237875604</v>
          </cell>
          <cell r="Q452">
            <v>19.568182237875604</v>
          </cell>
          <cell r="R452">
            <v>21.207641984097229</v>
          </cell>
          <cell r="S452">
            <v>19.568182237875604</v>
          </cell>
          <cell r="T452">
            <v>20.387912110986417</v>
          </cell>
          <cell r="U452">
            <v>20.387912110986417</v>
          </cell>
          <cell r="V452">
            <v>19.568182237875604</v>
          </cell>
          <cell r="W452">
            <v>21.207641984097229</v>
          </cell>
          <cell r="X452">
            <v>20.387912110986417</v>
          </cell>
          <cell r="Y452">
            <v>20.999549474316009</v>
          </cell>
          <cell r="Z452">
            <v>20.155227705011875</v>
          </cell>
          <cell r="AA452">
            <v>21.843871243620146</v>
          </cell>
          <cell r="AB452">
            <v>20.155227705011875</v>
          </cell>
          <cell r="AC452">
            <v>20.155227705011875</v>
          </cell>
          <cell r="AD452">
            <v>21.843871243620146</v>
          </cell>
          <cell r="AE452">
            <v>20.155227705011875</v>
          </cell>
          <cell r="AF452">
            <v>20.999549474316009</v>
          </cell>
        </row>
        <row r="453">
          <cell r="D453">
            <v>8370</v>
          </cell>
          <cell r="E453"/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D454">
            <v>8400</v>
          </cell>
          <cell r="E454"/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D455">
            <v>8410</v>
          </cell>
          <cell r="E455"/>
          <cell r="F455">
            <v>3408.6099999999997</v>
          </cell>
          <cell r="G455">
            <v>13509.07</v>
          </cell>
          <cell r="H455">
            <v>9210.5400000000009</v>
          </cell>
          <cell r="I455">
            <v>14340.630000000001</v>
          </cell>
          <cell r="J455">
            <v>14108.560000000001</v>
          </cell>
          <cell r="K455">
            <v>11974.95</v>
          </cell>
          <cell r="L455">
            <v>11021.92956362139</v>
          </cell>
          <cell r="M455">
            <v>10660.712774224654</v>
          </cell>
          <cell r="N455">
            <v>10209.758126880011</v>
          </cell>
          <cell r="O455">
            <v>11065.228844231928</v>
          </cell>
          <cell r="P455">
            <v>10206.681045665788</v>
          </cell>
          <cell r="Q455">
            <v>10211.565679906162</v>
          </cell>
          <cell r="R455">
            <v>11060.339858511092</v>
          </cell>
          <cell r="S455">
            <v>10221.417236830879</v>
          </cell>
          <cell r="T455">
            <v>10634.318447320738</v>
          </cell>
          <cell r="U455">
            <v>10645.612227755166</v>
          </cell>
          <cell r="V455">
            <v>10222.484128913829</v>
          </cell>
          <cell r="W455">
            <v>11056.239172702401</v>
          </cell>
          <cell r="X455">
            <v>10640.369085146425</v>
          </cell>
          <cell r="Y455">
            <v>10976.565567748243</v>
          </cell>
          <cell r="Z455">
            <v>10512.911534171833</v>
          </cell>
          <cell r="AA455">
            <v>11393.781023987289</v>
          </cell>
          <cell r="AB455">
            <v>10509.83445295761</v>
          </cell>
          <cell r="AC455">
            <v>10514.719087197984</v>
          </cell>
          <cell r="AD455">
            <v>11388.892038266453</v>
          </cell>
          <cell r="AE455">
            <v>10524.570644122701</v>
          </cell>
          <cell r="AF455">
            <v>10950.171240844327</v>
          </cell>
        </row>
        <row r="456">
          <cell r="D456">
            <v>8470</v>
          </cell>
          <cell r="E456"/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</row>
        <row r="457">
          <cell r="D457">
            <v>8500</v>
          </cell>
          <cell r="E457"/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D458">
            <v>8520</v>
          </cell>
          <cell r="E458"/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</row>
        <row r="459">
          <cell r="D459">
            <v>8550</v>
          </cell>
          <cell r="E459"/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29.91</v>
          </cell>
          <cell r="L459">
            <v>4.2984163751540265</v>
          </cell>
          <cell r="M459">
            <v>4.1363900202663526</v>
          </cell>
          <cell r="N459">
            <v>4.0617599795581762</v>
          </cell>
          <cell r="O459">
            <v>4.3399992731638681</v>
          </cell>
          <cell r="P459">
            <v>4.2083515255499222</v>
          </cell>
          <cell r="Q459">
            <v>4.3469374652678461</v>
          </cell>
          <cell r="R459">
            <v>4.0121252206604856</v>
          </cell>
          <cell r="S459">
            <v>4.2071062090184386</v>
          </cell>
          <cell r="T459">
            <v>4.2280986876920137</v>
          </cell>
          <cell r="U459">
            <v>4.1529349398989162</v>
          </cell>
          <cell r="V459">
            <v>4.1536465493454777</v>
          </cell>
          <cell r="W459">
            <v>4.0012731766004173</v>
          </cell>
          <cell r="X459">
            <v>4.3955617387514199</v>
          </cell>
          <cell r="Y459">
            <v>4.1363900202663526</v>
          </cell>
          <cell r="Z459">
            <v>4.0617599795581762</v>
          </cell>
          <cell r="AA459">
            <v>4.3399992731638681</v>
          </cell>
          <cell r="AB459">
            <v>4.2083515255499222</v>
          </cell>
          <cell r="AC459">
            <v>4.3469374652678461</v>
          </cell>
          <cell r="AD459">
            <v>4.0121252206604856</v>
          </cell>
          <cell r="AE459">
            <v>4.2071062090184386</v>
          </cell>
          <cell r="AF459">
            <v>4.2280986876920137</v>
          </cell>
        </row>
        <row r="460">
          <cell r="D460">
            <v>8560</v>
          </cell>
          <cell r="E460"/>
          <cell r="F460">
            <v>24144.68</v>
          </cell>
          <cell r="G460">
            <v>43383.790000000008</v>
          </cell>
          <cell r="H460">
            <v>11396.8</v>
          </cell>
          <cell r="I460">
            <v>26439.25</v>
          </cell>
          <cell r="J460">
            <v>16253.009999999998</v>
          </cell>
          <cell r="K460">
            <v>44203.270000000004</v>
          </cell>
          <cell r="L460">
            <v>25706.086727191854</v>
          </cell>
          <cell r="M460">
            <v>25311.45461596291</v>
          </cell>
          <cell r="N460">
            <v>24653.032091058922</v>
          </cell>
          <cell r="O460">
            <v>25712.425140535757</v>
          </cell>
          <cell r="P460">
            <v>24645.41235729344</v>
          </cell>
          <cell r="Q460">
            <v>24807.767318910639</v>
          </cell>
          <cell r="R460">
            <v>25979.93896685302</v>
          </cell>
          <cell r="S460">
            <v>25573.189200552173</v>
          </cell>
          <cell r="T460">
            <v>25433.47033150636</v>
          </cell>
          <cell r="U460">
            <v>25812.842043372275</v>
          </cell>
          <cell r="V460">
            <v>25591.392860703771</v>
          </cell>
          <cell r="W460">
            <v>26017.977168608661</v>
          </cell>
          <cell r="X460">
            <v>25692.729134923837</v>
          </cell>
          <cell r="Y460">
            <v>25640.959799519318</v>
          </cell>
          <cell r="Z460">
            <v>24969.288971364091</v>
          </cell>
          <cell r="AA460">
            <v>26055.178627343412</v>
          </cell>
          <cell r="AB460">
            <v>24961.669237598609</v>
          </cell>
          <cell r="AC460">
            <v>25124.024199215804</v>
          </cell>
          <cell r="AD460">
            <v>26322.692453660671</v>
          </cell>
          <cell r="AE460">
            <v>25889.446080857339</v>
          </cell>
          <cell r="AF460">
            <v>25762.975515062768</v>
          </cell>
        </row>
        <row r="461">
          <cell r="D461">
            <v>8570</v>
          </cell>
          <cell r="E461"/>
          <cell r="F461">
            <v>7494.4999999999991</v>
          </cell>
          <cell r="G461">
            <v>543.7399999999999</v>
          </cell>
          <cell r="H461">
            <v>3496.8999999999996</v>
          </cell>
          <cell r="I461">
            <v>4550.37</v>
          </cell>
          <cell r="J461">
            <v>1846.6399999999999</v>
          </cell>
          <cell r="K461">
            <v>90.190000000000055</v>
          </cell>
          <cell r="L461">
            <v>2843.0817638438634</v>
          </cell>
          <cell r="M461">
            <v>2738.7385426229475</v>
          </cell>
          <cell r="N461">
            <v>2652.0659513510691</v>
          </cell>
          <cell r="O461">
            <v>2861.0098690609793</v>
          </cell>
          <cell r="P461">
            <v>2669.6161072468722</v>
          </cell>
          <cell r="Q461">
            <v>2734.3306191778629</v>
          </cell>
          <cell r="R461">
            <v>2809.4354780445269</v>
          </cell>
          <cell r="S461">
            <v>2682.6156580753168</v>
          </cell>
          <cell r="T461">
            <v>2750.8700547736607</v>
          </cell>
          <cell r="U461">
            <v>2819.8055510681033</v>
          </cell>
          <cell r="V461">
            <v>2739.7455682343807</v>
          </cell>
          <cell r="W461">
            <v>2822.6873972882563</v>
          </cell>
          <cell r="X461">
            <v>2807.3294873012223</v>
          </cell>
          <cell r="Y461">
            <v>2797.2435011534976</v>
          </cell>
          <cell r="Z461">
            <v>2708.2186208403709</v>
          </cell>
          <cell r="AA461">
            <v>2921.8671166327777</v>
          </cell>
          <cell r="AB461">
            <v>2725.768776736174</v>
          </cell>
          <cell r="AC461">
            <v>2790.4832886671647</v>
          </cell>
          <cell r="AD461">
            <v>2870.2927256163248</v>
          </cell>
          <cell r="AE461">
            <v>2738.7683275646186</v>
          </cell>
          <cell r="AF461">
            <v>2809.3750133042113</v>
          </cell>
        </row>
        <row r="462">
          <cell r="D462">
            <v>8580</v>
          </cell>
          <cell r="E462"/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</row>
        <row r="463">
          <cell r="D463">
            <v>8590</v>
          </cell>
          <cell r="E463"/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D464">
            <v>8600</v>
          </cell>
          <cell r="E464"/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</row>
        <row r="465">
          <cell r="D465">
            <v>8620</v>
          </cell>
          <cell r="E465"/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D466">
            <v>8630</v>
          </cell>
          <cell r="E466"/>
          <cell r="F466">
            <v>0</v>
          </cell>
          <cell r="G466">
            <v>215.03</v>
          </cell>
          <cell r="H466">
            <v>897.19999999999993</v>
          </cell>
          <cell r="I466">
            <v>-140.82</v>
          </cell>
          <cell r="J466">
            <v>1240.4100000000001</v>
          </cell>
          <cell r="K466">
            <v>804.21</v>
          </cell>
          <cell r="L466">
            <v>504.74379042964534</v>
          </cell>
          <cell r="M466">
            <v>486.12976965845797</v>
          </cell>
          <cell r="N466">
            <v>466.58411475136342</v>
          </cell>
          <cell r="O466">
            <v>505.6754245655527</v>
          </cell>
          <cell r="P466">
            <v>466.58411475136342</v>
          </cell>
          <cell r="Q466">
            <v>466.58411475136342</v>
          </cell>
          <cell r="R466">
            <v>505.6754245655527</v>
          </cell>
          <cell r="S466">
            <v>466.58411475136342</v>
          </cell>
          <cell r="T466">
            <v>486.12976965845797</v>
          </cell>
          <cell r="U466">
            <v>486.12976965845797</v>
          </cell>
          <cell r="V466">
            <v>466.58411475136342</v>
          </cell>
          <cell r="W466">
            <v>505.6754245655527</v>
          </cell>
          <cell r="X466">
            <v>486.12976965845797</v>
          </cell>
          <cell r="Y466">
            <v>500.71366274821179</v>
          </cell>
          <cell r="Z466">
            <v>480.58163819390427</v>
          </cell>
          <cell r="AA466">
            <v>520.84568730251931</v>
          </cell>
          <cell r="AB466">
            <v>480.58163819390427</v>
          </cell>
          <cell r="AC466">
            <v>480.58163819390427</v>
          </cell>
          <cell r="AD466">
            <v>520.84568730251931</v>
          </cell>
          <cell r="AE466">
            <v>480.58163819390427</v>
          </cell>
          <cell r="AF466">
            <v>500.71366274821179</v>
          </cell>
        </row>
        <row r="467">
          <cell r="D467">
            <v>8640</v>
          </cell>
          <cell r="E467"/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D468">
            <v>8650</v>
          </cell>
          <cell r="E468"/>
          <cell r="F468">
            <v>0</v>
          </cell>
          <cell r="G468">
            <v>0</v>
          </cell>
          <cell r="H468">
            <v>2862.96</v>
          </cell>
          <cell r="I468">
            <v>279.2</v>
          </cell>
          <cell r="J468">
            <v>-177.08</v>
          </cell>
          <cell r="K468">
            <v>0</v>
          </cell>
          <cell r="L468">
            <v>495.17547036250448</v>
          </cell>
          <cell r="M468">
            <v>476.96052625239395</v>
          </cell>
          <cell r="N468">
            <v>457.92717579554756</v>
          </cell>
          <cell r="O468">
            <v>496.13496245102692</v>
          </cell>
          <cell r="P468">
            <v>457.90518786193695</v>
          </cell>
          <cell r="Q468">
            <v>458.52761459391206</v>
          </cell>
          <cell r="R468">
            <v>496.02924728563232</v>
          </cell>
          <cell r="S468">
            <v>458.28314684844753</v>
          </cell>
          <cell r="T468">
            <v>476.9086264027145</v>
          </cell>
          <cell r="U468">
            <v>478.03987248767186</v>
          </cell>
          <cell r="V468">
            <v>459.11404964614985</v>
          </cell>
          <cell r="W468">
            <v>496.26585987824342</v>
          </cell>
          <cell r="X468">
            <v>477.46005785412859</v>
          </cell>
          <cell r="Y468">
            <v>491.12276721089353</v>
          </cell>
          <cell r="Z468">
            <v>471.52000033118452</v>
          </cell>
          <cell r="AA468">
            <v>510.86661983238918</v>
          </cell>
          <cell r="AB468">
            <v>471.49801239757392</v>
          </cell>
          <cell r="AC468">
            <v>472.12043912954903</v>
          </cell>
          <cell r="AD468">
            <v>510.76090466699458</v>
          </cell>
          <cell r="AE468">
            <v>471.87597138408449</v>
          </cell>
          <cell r="AF468">
            <v>491.07086736121408</v>
          </cell>
        </row>
        <row r="469">
          <cell r="D469">
            <v>8670</v>
          </cell>
          <cell r="E469"/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</row>
        <row r="470">
          <cell r="D470">
            <v>8700</v>
          </cell>
          <cell r="E470"/>
          <cell r="F470">
            <v>108924.20000000003</v>
          </cell>
          <cell r="G470">
            <v>123894.27999999996</v>
          </cell>
          <cell r="H470">
            <v>87335.919999999867</v>
          </cell>
          <cell r="I470">
            <v>96211.379999999976</v>
          </cell>
          <cell r="J470">
            <v>106036.01000000013</v>
          </cell>
          <cell r="K470">
            <v>139540.11999999985</v>
          </cell>
          <cell r="L470">
            <v>85750.309745869235</v>
          </cell>
          <cell r="M470">
            <v>90006.878738886371</v>
          </cell>
          <cell r="N470">
            <v>85219.957839945011</v>
          </cell>
          <cell r="O470">
            <v>89919.563668060888</v>
          </cell>
          <cell r="P470">
            <v>85932.185833541313</v>
          </cell>
          <cell r="Q470">
            <v>85018.651079679286</v>
          </cell>
          <cell r="R470">
            <v>88797.63373929786</v>
          </cell>
          <cell r="S470">
            <v>87999.512234021342</v>
          </cell>
          <cell r="T470">
            <v>86499.12122905186</v>
          </cell>
          <cell r="U470">
            <v>88762.110169980078</v>
          </cell>
          <cell r="V470">
            <v>86602.942689165386</v>
          </cell>
          <cell r="W470">
            <v>88417.214510360835</v>
          </cell>
          <cell r="X470">
            <v>90658.520908078834</v>
          </cell>
          <cell r="Y470">
            <v>91585.963794476047</v>
          </cell>
          <cell r="Z470">
            <v>86735.553157831106</v>
          </cell>
          <cell r="AA470">
            <v>91562.138461354087</v>
          </cell>
          <cell r="AB470">
            <v>87447.781151427393</v>
          </cell>
          <cell r="AC470">
            <v>86534.246397565381</v>
          </cell>
          <cell r="AD470">
            <v>90440.208532591059</v>
          </cell>
          <cell r="AE470">
            <v>89515.107551907437</v>
          </cell>
          <cell r="AF470">
            <v>88078.206284641521</v>
          </cell>
        </row>
        <row r="471">
          <cell r="D471">
            <v>8710</v>
          </cell>
          <cell r="E471"/>
          <cell r="F471">
            <v>911.53</v>
          </cell>
          <cell r="G471">
            <v>19.5</v>
          </cell>
          <cell r="H471">
            <v>21.6</v>
          </cell>
          <cell r="I471">
            <v>41.290000000000006</v>
          </cell>
          <cell r="J471">
            <v>41.41</v>
          </cell>
          <cell r="K471">
            <v>21.52</v>
          </cell>
          <cell r="L471">
            <v>151.88168993920203</v>
          </cell>
          <cell r="M471">
            <v>146.15659621927432</v>
          </cell>
          <cell r="N471">
            <v>143.51959325964756</v>
          </cell>
          <cell r="O471">
            <v>153.35099404357183</v>
          </cell>
          <cell r="P471">
            <v>148.69930825066649</v>
          </cell>
          <cell r="Q471">
            <v>153.59615045698172</v>
          </cell>
          <cell r="R471">
            <v>141.7657819944846</v>
          </cell>
          <cell r="S471">
            <v>148.65530581749036</v>
          </cell>
          <cell r="T471">
            <v>149.39706111960228</v>
          </cell>
          <cell r="U471">
            <v>146.74119997432862</v>
          </cell>
          <cell r="V471">
            <v>146.76634422185785</v>
          </cell>
          <cell r="W471">
            <v>141.38233221966402</v>
          </cell>
          <cell r="X471">
            <v>155.31425689065324</v>
          </cell>
          <cell r="Y471">
            <v>146.15659621927432</v>
          </cell>
          <cell r="Z471">
            <v>143.51959325964756</v>
          </cell>
          <cell r="AA471">
            <v>153.35099404357183</v>
          </cell>
          <cell r="AB471">
            <v>148.69930825066649</v>
          </cell>
          <cell r="AC471">
            <v>153.59615045698172</v>
          </cell>
          <cell r="AD471">
            <v>141.7657819944846</v>
          </cell>
          <cell r="AE471">
            <v>148.65530581749036</v>
          </cell>
          <cell r="AF471">
            <v>149.39706111960228</v>
          </cell>
        </row>
        <row r="472">
          <cell r="D472">
            <v>8711</v>
          </cell>
          <cell r="E472"/>
          <cell r="F472">
            <v>0</v>
          </cell>
          <cell r="G472">
            <v>0</v>
          </cell>
          <cell r="H472">
            <v>0</v>
          </cell>
          <cell r="I472">
            <v>5985.9</v>
          </cell>
          <cell r="J472">
            <v>0</v>
          </cell>
          <cell r="K472">
            <v>0</v>
          </cell>
          <cell r="L472">
            <v>767.36853343164273</v>
          </cell>
          <cell r="M472">
            <v>741.74361145870284</v>
          </cell>
          <cell r="N472">
            <v>745.15439402452182</v>
          </cell>
          <cell r="O472">
            <v>792.45931606185661</v>
          </cell>
          <cell r="P472">
            <v>742.17037227376738</v>
          </cell>
          <cell r="Q472">
            <v>874.83791984721836</v>
          </cell>
          <cell r="R472">
            <v>764.44453352455525</v>
          </cell>
          <cell r="S472">
            <v>779.21541365783446</v>
          </cell>
          <cell r="T472">
            <v>743.12025924923353</v>
          </cell>
          <cell r="U472">
            <v>964.0722296294233</v>
          </cell>
          <cell r="V472">
            <v>959.17136349513373</v>
          </cell>
          <cell r="W472">
            <v>805.63383541723613</v>
          </cell>
          <cell r="X472">
            <v>842.22430770086987</v>
          </cell>
          <cell r="Y472">
            <v>741.74361145870284</v>
          </cell>
          <cell r="Z472">
            <v>745.15439402452182</v>
          </cell>
          <cell r="AA472">
            <v>792.45931606185661</v>
          </cell>
          <cell r="AB472">
            <v>742.17037227376738</v>
          </cell>
          <cell r="AC472">
            <v>874.83791984721836</v>
          </cell>
          <cell r="AD472">
            <v>764.44453352455525</v>
          </cell>
          <cell r="AE472">
            <v>779.21541365783446</v>
          </cell>
          <cell r="AF472">
            <v>743.12025924923353</v>
          </cell>
        </row>
        <row r="473">
          <cell r="D473">
            <v>8720</v>
          </cell>
          <cell r="E473"/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</row>
        <row r="474">
          <cell r="D474">
            <v>8740</v>
          </cell>
          <cell r="E474"/>
          <cell r="F474">
            <v>337866.06999999983</v>
          </cell>
          <cell r="G474">
            <v>322093.16000000009</v>
          </cell>
          <cell r="H474">
            <v>299562.99</v>
          </cell>
          <cell r="I474">
            <v>331434.98</v>
          </cell>
          <cell r="J474">
            <v>348644.55000000005</v>
          </cell>
          <cell r="K474">
            <v>297225.92000000004</v>
          </cell>
          <cell r="L474">
            <v>307262.12748637539</v>
          </cell>
          <cell r="M474">
            <v>302016.25862799911</v>
          </cell>
          <cell r="N474">
            <v>291363.05767837632</v>
          </cell>
          <cell r="O474">
            <v>303289.01788535865</v>
          </cell>
          <cell r="P474">
            <v>290794.34288298659</v>
          </cell>
          <cell r="Q474">
            <v>292439.46788492642</v>
          </cell>
          <cell r="R474">
            <v>306410.71691118035</v>
          </cell>
          <cell r="S474">
            <v>309297.19726845348</v>
          </cell>
          <cell r="T474">
            <v>298918.66207091254</v>
          </cell>
          <cell r="U474">
            <v>308018.05910213629</v>
          </cell>
          <cell r="V474">
            <v>309349.52166981826</v>
          </cell>
          <cell r="W474">
            <v>309025.13052715425</v>
          </cell>
          <cell r="X474">
            <v>306303.50711802038</v>
          </cell>
          <cell r="Y474">
            <v>305314.99493918766</v>
          </cell>
          <cell r="Z474">
            <v>294529.16281658958</v>
          </cell>
          <cell r="AA474">
            <v>306720.38536952244</v>
          </cell>
          <cell r="AB474">
            <v>293960.44802119985</v>
          </cell>
          <cell r="AC474">
            <v>295605.57302313967</v>
          </cell>
          <cell r="AD474">
            <v>309842.08439534419</v>
          </cell>
          <cell r="AE474">
            <v>312463.30240666674</v>
          </cell>
          <cell r="AF474">
            <v>302217.39838210109</v>
          </cell>
        </row>
        <row r="475">
          <cell r="D475">
            <v>8750</v>
          </cell>
          <cell r="E475"/>
          <cell r="F475">
            <v>40672.539999999994</v>
          </cell>
          <cell r="G475">
            <v>12822.8</v>
          </cell>
          <cell r="H475">
            <v>59894.829999999987</v>
          </cell>
          <cell r="I475">
            <v>30927.119999999999</v>
          </cell>
          <cell r="J475">
            <v>39263.280000000006</v>
          </cell>
          <cell r="K475">
            <v>22811.639999999996</v>
          </cell>
          <cell r="L475">
            <v>33282.670508539064</v>
          </cell>
          <cell r="M475">
            <v>32194.740740770805</v>
          </cell>
          <cell r="N475">
            <v>31033.886043972499</v>
          </cell>
          <cell r="O475">
            <v>33494.685036657123</v>
          </cell>
          <cell r="P475">
            <v>31038.720358605067</v>
          </cell>
          <cell r="Q475">
            <v>31562.867538473729</v>
          </cell>
          <cell r="R475">
            <v>33331.545522349952</v>
          </cell>
          <cell r="S475">
            <v>31246.891511460861</v>
          </cell>
          <cell r="T475">
            <v>32175.278763473641</v>
          </cell>
          <cell r="U475">
            <v>33014.032368981476</v>
          </cell>
          <cell r="V475">
            <v>31900.934339507297</v>
          </cell>
          <cell r="W475">
            <v>33472.943046264161</v>
          </cell>
          <cell r="X475">
            <v>32589.793269783873</v>
          </cell>
          <cell r="Y475">
            <v>33019.537907893857</v>
          </cell>
          <cell r="Z475">
            <v>31825.520870907534</v>
          </cell>
          <cell r="AA475">
            <v>34352.644543968185</v>
          </cell>
          <cell r="AB475">
            <v>31830.355185540102</v>
          </cell>
          <cell r="AC475">
            <v>32354.502365408764</v>
          </cell>
          <cell r="AD475">
            <v>34189.505029661013</v>
          </cell>
          <cell r="AE475">
            <v>32038.526338395895</v>
          </cell>
          <cell r="AF475">
            <v>33000.075930596686</v>
          </cell>
        </row>
        <row r="476">
          <cell r="D476">
            <v>8760</v>
          </cell>
          <cell r="E476"/>
          <cell r="F476">
            <v>1931.5000000000002</v>
          </cell>
          <cell r="G476">
            <v>534.79</v>
          </cell>
          <cell r="H476">
            <v>2812.6499999999996</v>
          </cell>
          <cell r="I476">
            <v>2681.4599999999996</v>
          </cell>
          <cell r="J476">
            <v>3657.0099999999998</v>
          </cell>
          <cell r="K476">
            <v>6084.99</v>
          </cell>
          <cell r="L476">
            <v>2708.1713370204261</v>
          </cell>
          <cell r="M476">
            <v>2616.3609988874796</v>
          </cell>
          <cell r="N476">
            <v>2548.4311522267481</v>
          </cell>
          <cell r="O476">
            <v>2737.6538887385541</v>
          </cell>
          <cell r="P476">
            <v>2545.4892195447078</v>
          </cell>
          <cell r="Q476">
            <v>2676.285516171497</v>
          </cell>
          <cell r="R476">
            <v>2713.873605392962</v>
          </cell>
          <cell r="S476">
            <v>2585.8511034717467</v>
          </cell>
          <cell r="T476">
            <v>2621.5570093672195</v>
          </cell>
          <cell r="U476">
            <v>2837.7132432098706</v>
          </cell>
          <cell r="V476">
            <v>2761.5889820994785</v>
          </cell>
          <cell r="W476">
            <v>2752.8021136928023</v>
          </cell>
          <cell r="X476">
            <v>2717.5770529366382</v>
          </cell>
          <cell r="Y476">
            <v>2669.5555582943371</v>
          </cell>
          <cell r="Z476">
            <v>2599.4869360103153</v>
          </cell>
          <cell r="AA476">
            <v>2792.9872237687023</v>
          </cell>
          <cell r="AB476">
            <v>2596.5450033282746</v>
          </cell>
          <cell r="AC476">
            <v>2727.3412999550642</v>
          </cell>
          <cell r="AD476">
            <v>2769.2069404231106</v>
          </cell>
          <cell r="AE476">
            <v>2636.9068872553139</v>
          </cell>
          <cell r="AF476">
            <v>2674.751568774077</v>
          </cell>
        </row>
        <row r="477">
          <cell r="D477">
            <v>8770</v>
          </cell>
          <cell r="E477"/>
          <cell r="F477">
            <v>4439.1299999999992</v>
          </cell>
          <cell r="G477">
            <v>3366.64</v>
          </cell>
          <cell r="H477">
            <v>4994.42</v>
          </cell>
          <cell r="I477">
            <v>11335.130000000001</v>
          </cell>
          <cell r="J477">
            <v>23157.57</v>
          </cell>
          <cell r="K477">
            <v>21429.11</v>
          </cell>
          <cell r="L477">
            <v>9202.0926152701104</v>
          </cell>
          <cell r="M477">
            <v>8917.5967067050788</v>
          </cell>
          <cell r="N477">
            <v>8891.0151730878861</v>
          </cell>
          <cell r="O477">
            <v>9440.3619010978964</v>
          </cell>
          <cell r="P477">
            <v>8879.5404558222072</v>
          </cell>
          <cell r="Q477">
            <v>10077.374849008364</v>
          </cell>
          <cell r="R477">
            <v>9178.7654942230529</v>
          </cell>
          <cell r="S477">
            <v>9232.0837648076613</v>
          </cell>
          <cell r="T477">
            <v>8961.5457341221481</v>
          </cell>
          <cell r="U477">
            <v>10915.165756491086</v>
          </cell>
          <cell r="V477">
            <v>10822.220824449538</v>
          </cell>
          <cell r="W477">
            <v>9535.3790865070205</v>
          </cell>
          <cell r="X477">
            <v>9853.198374256217</v>
          </cell>
          <cell r="Y477">
            <v>8954.3803427323528</v>
          </cell>
          <cell r="Z477">
            <v>8926.3198619267951</v>
          </cell>
          <cell r="AA477">
            <v>9478.6244843135373</v>
          </cell>
          <cell r="AB477">
            <v>8914.8451446611161</v>
          </cell>
          <cell r="AC477">
            <v>10112.679537847273</v>
          </cell>
          <cell r="AD477">
            <v>9217.0280774386938</v>
          </cell>
          <cell r="AE477">
            <v>9267.3884536465703</v>
          </cell>
          <cell r="AF477">
            <v>8998.329370149424</v>
          </cell>
        </row>
        <row r="478">
          <cell r="D478">
            <v>8780</v>
          </cell>
          <cell r="E478"/>
          <cell r="F478">
            <v>85679.66</v>
          </cell>
          <cell r="G478">
            <v>77707.450000000012</v>
          </cell>
          <cell r="H478">
            <v>66202.749999999971</v>
          </cell>
          <cell r="I478">
            <v>70824.290000000008</v>
          </cell>
          <cell r="J478">
            <v>80798.55</v>
          </cell>
          <cell r="K478">
            <v>76264.639999999999</v>
          </cell>
          <cell r="L478">
            <v>74823.42606696047</v>
          </cell>
          <cell r="M478">
            <v>73201.916641918055</v>
          </cell>
          <cell r="N478">
            <v>69821.200329972635</v>
          </cell>
          <cell r="O478">
            <v>75627.355273199879</v>
          </cell>
          <cell r="P478">
            <v>69757.153407336998</v>
          </cell>
          <cell r="Q478">
            <v>70147.61465378289</v>
          </cell>
          <cell r="R478">
            <v>75365.318293505159</v>
          </cell>
          <cell r="S478">
            <v>70183.870662355621</v>
          </cell>
          <cell r="T478">
            <v>72568.988310387314</v>
          </cell>
          <cell r="U478">
            <v>73279.531674686557</v>
          </cell>
          <cell r="V478">
            <v>70556.308738308391</v>
          </cell>
          <cell r="W478">
            <v>75353.3780456979</v>
          </cell>
          <cell r="X478">
            <v>72950.144818847926</v>
          </cell>
          <cell r="Y478">
            <v>75233.23642224753</v>
          </cell>
          <cell r="Z478">
            <v>71770.847524275989</v>
          </cell>
          <cell r="AA478">
            <v>77740.347639555461</v>
          </cell>
          <cell r="AB478">
            <v>71706.800601640382</v>
          </cell>
          <cell r="AC478">
            <v>72097.261848086273</v>
          </cell>
          <cell r="AD478">
            <v>77478.310659860741</v>
          </cell>
          <cell r="AE478">
            <v>72133.517856658989</v>
          </cell>
          <cell r="AF478">
            <v>74600.30809071679</v>
          </cell>
        </row>
        <row r="479">
          <cell r="D479">
            <v>8790</v>
          </cell>
          <cell r="E479"/>
          <cell r="F479">
            <v>0</v>
          </cell>
          <cell r="G479">
            <v>89.92</v>
          </cell>
          <cell r="H479">
            <v>0</v>
          </cell>
          <cell r="I479">
            <v>93.84</v>
          </cell>
          <cell r="J479">
            <v>239.02</v>
          </cell>
          <cell r="K479">
            <v>0</v>
          </cell>
          <cell r="L479">
            <v>54.198711733278181</v>
          </cell>
          <cell r="M479">
            <v>52.388841118714033</v>
          </cell>
          <cell r="N479">
            <v>52.629742345459711</v>
          </cell>
          <cell r="O479">
            <v>55.970856453437534</v>
          </cell>
          <cell r="P479">
            <v>52.418982941563229</v>
          </cell>
          <cell r="Q479">
            <v>61.789200580197956</v>
          </cell>
          <cell r="R479">
            <v>53.992191630917901</v>
          </cell>
          <cell r="S479">
            <v>55.035448735571798</v>
          </cell>
          <cell r="T479">
            <v>52.486072805324334</v>
          </cell>
          <cell r="U479">
            <v>68.091758506277671</v>
          </cell>
          <cell r="V479">
            <v>67.745613701945004</v>
          </cell>
          <cell r="W479">
            <v>56.901363694298112</v>
          </cell>
          <cell r="X479">
            <v>59.485723585387952</v>
          </cell>
          <cell r="Y479">
            <v>52.388841118714033</v>
          </cell>
          <cell r="Z479">
            <v>52.629742345459711</v>
          </cell>
          <cell r="AA479">
            <v>55.970856453437534</v>
          </cell>
          <cell r="AB479">
            <v>52.418982941563229</v>
          </cell>
          <cell r="AC479">
            <v>61.789200580197956</v>
          </cell>
          <cell r="AD479">
            <v>53.992191630917901</v>
          </cell>
          <cell r="AE479">
            <v>55.035448735571798</v>
          </cell>
          <cell r="AF479">
            <v>52.486072805324334</v>
          </cell>
        </row>
        <row r="480">
          <cell r="D480">
            <v>8800</v>
          </cell>
          <cell r="E480"/>
          <cell r="F480">
            <v>16986.45</v>
          </cell>
          <cell r="G480">
            <v>25978.430000000004</v>
          </cell>
          <cell r="H480">
            <v>22518.890000000003</v>
          </cell>
          <cell r="I480">
            <v>10693.5</v>
          </cell>
          <cell r="J480">
            <v>19224.150000000001</v>
          </cell>
          <cell r="K480">
            <v>11344.839999999998</v>
          </cell>
          <cell r="L480">
            <v>17668.148665740122</v>
          </cell>
          <cell r="M480">
            <v>17075.216457477589</v>
          </cell>
          <cell r="N480">
            <v>16389.881773423713</v>
          </cell>
          <cell r="O480">
            <v>17754.711372576858</v>
          </cell>
          <cell r="P480">
            <v>16382.527791479786</v>
          </cell>
          <cell r="Q480">
            <v>16457.808903700174</v>
          </cell>
          <cell r="R480">
            <v>17717.965681487196</v>
          </cell>
          <cell r="S480">
            <v>16409.553606219764</v>
          </cell>
          <cell r="T480">
            <v>17041.996276253358</v>
          </cell>
          <cell r="U480">
            <v>17178.745988064562</v>
          </cell>
          <cell r="V480">
            <v>16512.131358352384</v>
          </cell>
          <cell r="W480">
            <v>17737.173145420569</v>
          </cell>
          <cell r="X480">
            <v>17104.645054846565</v>
          </cell>
          <cell r="Y480">
            <v>17569.690571302483</v>
          </cell>
          <cell r="Z480">
            <v>16864.474734123374</v>
          </cell>
          <cell r="AA480">
            <v>18269.06663952698</v>
          </cell>
          <cell r="AB480">
            <v>16857.120752179449</v>
          </cell>
          <cell r="AC480">
            <v>16932.401864399835</v>
          </cell>
          <cell r="AD480">
            <v>18232.320948437318</v>
          </cell>
          <cell r="AE480">
            <v>16884.146566919429</v>
          </cell>
          <cell r="AF480">
            <v>17536.470390078252</v>
          </cell>
        </row>
        <row r="481">
          <cell r="D481">
            <v>8810</v>
          </cell>
          <cell r="E481"/>
          <cell r="F481">
            <v>40817.600000000006</v>
          </cell>
          <cell r="G481">
            <v>37698.92</v>
          </cell>
          <cell r="H481">
            <v>43548.710000000006</v>
          </cell>
          <cell r="I481">
            <v>34962.680000000015</v>
          </cell>
          <cell r="J481">
            <v>43046.650000000009</v>
          </cell>
          <cell r="K481">
            <v>40699.69000000001</v>
          </cell>
          <cell r="L481">
            <v>34547.542391144925</v>
          </cell>
          <cell r="M481">
            <v>33307.809598304302</v>
          </cell>
          <cell r="N481">
            <v>32730.57384238685</v>
          </cell>
          <cell r="O481">
            <v>34885.831034904106</v>
          </cell>
          <cell r="P481">
            <v>33864.602026288732</v>
          </cell>
          <cell r="Q481">
            <v>34943.875593847806</v>
          </cell>
          <cell r="R481">
            <v>32390.963267124131</v>
          </cell>
          <cell r="S481">
            <v>33900.323463950837</v>
          </cell>
          <cell r="T481">
            <v>34060.824948248104</v>
          </cell>
          <cell r="U481">
            <v>33472.002826567405</v>
          </cell>
          <cell r="V481">
            <v>33477.248996883958</v>
          </cell>
          <cell r="W481">
            <v>32290.195922214982</v>
          </cell>
          <cell r="X481">
            <v>35342.686576204251</v>
          </cell>
          <cell r="Y481">
            <v>33307.809598304302</v>
          </cell>
          <cell r="Z481">
            <v>32730.57384238685</v>
          </cell>
          <cell r="AA481">
            <v>34885.831034904106</v>
          </cell>
          <cell r="AB481">
            <v>33864.602026288732</v>
          </cell>
          <cell r="AC481">
            <v>34943.875593847806</v>
          </cell>
          <cell r="AD481">
            <v>32390.963267124131</v>
          </cell>
          <cell r="AE481">
            <v>33900.323463950837</v>
          </cell>
          <cell r="AF481">
            <v>34060.824948248104</v>
          </cell>
        </row>
        <row r="482">
          <cell r="D482">
            <v>8850</v>
          </cell>
          <cell r="E482"/>
          <cell r="F482">
            <v>36.800000000000004</v>
          </cell>
          <cell r="G482">
            <v>185.37</v>
          </cell>
          <cell r="H482">
            <v>184.67000000000002</v>
          </cell>
          <cell r="I482">
            <v>139.76</v>
          </cell>
          <cell r="J482">
            <v>0</v>
          </cell>
          <cell r="K482">
            <v>303.67</v>
          </cell>
          <cell r="L482">
            <v>232.82746424499894</v>
          </cell>
          <cell r="M482">
            <v>169.48722224643484</v>
          </cell>
          <cell r="N482">
            <v>183.52989198376892</v>
          </cell>
          <cell r="O482">
            <v>188.9909302149544</v>
          </cell>
          <cell r="P482">
            <v>169.48722224643484</v>
          </cell>
          <cell r="Q482">
            <v>169.48722224643484</v>
          </cell>
          <cell r="R482">
            <v>188.9909302149544</v>
          </cell>
          <cell r="S482">
            <v>193.2817459680287</v>
          </cell>
          <cell r="T482">
            <v>179.23907623069462</v>
          </cell>
          <cell r="U482">
            <v>198.74278419921419</v>
          </cell>
          <cell r="V482">
            <v>179.23907623069462</v>
          </cell>
          <cell r="W482">
            <v>179.23907623069462</v>
          </cell>
          <cell r="X482">
            <v>200.01052521716795</v>
          </cell>
          <cell r="Y482">
            <v>169.48722224643484</v>
          </cell>
          <cell r="Z482">
            <v>183.52989198376892</v>
          </cell>
          <cell r="AA482">
            <v>188.9909302149544</v>
          </cell>
          <cell r="AB482">
            <v>169.48722224643484</v>
          </cell>
          <cell r="AC482">
            <v>169.48722224643484</v>
          </cell>
          <cell r="AD482">
            <v>188.9909302149544</v>
          </cell>
          <cell r="AE482">
            <v>193.2817459680287</v>
          </cell>
          <cell r="AF482">
            <v>179.23907623069462</v>
          </cell>
        </row>
        <row r="483">
          <cell r="D483">
            <v>8860</v>
          </cell>
          <cell r="E483"/>
          <cell r="F483">
            <v>11626.65</v>
          </cell>
          <cell r="G483">
            <v>40.28</v>
          </cell>
          <cell r="H483">
            <v>621.80999999999995</v>
          </cell>
          <cell r="I483">
            <v>221.49</v>
          </cell>
          <cell r="J483">
            <v>88.94</v>
          </cell>
          <cell r="K483">
            <v>41.27</v>
          </cell>
          <cell r="L483">
            <v>1816.5788794768296</v>
          </cell>
          <cell r="M483">
            <v>1748.1039741817324</v>
          </cell>
          <cell r="N483">
            <v>1716.5641362757058</v>
          </cell>
          <cell r="O483">
            <v>1834.1524711625373</v>
          </cell>
          <cell r="P483">
            <v>1778.5160467275914</v>
          </cell>
          <cell r="Q483">
            <v>1837.0846610989736</v>
          </cell>
          <cell r="R483">
            <v>1695.5877005765842</v>
          </cell>
          <cell r="S483">
            <v>1777.9897562261797</v>
          </cell>
          <cell r="T483">
            <v>1786.8615103928332</v>
          </cell>
          <cell r="U483">
            <v>1755.0961194147731</v>
          </cell>
          <cell r="V483">
            <v>1755.396856844151</v>
          </cell>
          <cell r="W483">
            <v>1691.0014547785684</v>
          </cell>
          <cell r="X483">
            <v>1857.6340496483786</v>
          </cell>
          <cell r="Y483">
            <v>1748.1039741817324</v>
          </cell>
          <cell r="Z483">
            <v>1716.5641362757058</v>
          </cell>
          <cell r="AA483">
            <v>1834.1524711625373</v>
          </cell>
          <cell r="AB483">
            <v>1778.5160467275914</v>
          </cell>
          <cell r="AC483">
            <v>1837.0846610989736</v>
          </cell>
          <cell r="AD483">
            <v>1695.5877005765842</v>
          </cell>
          <cell r="AE483">
            <v>1777.9897562261797</v>
          </cell>
          <cell r="AF483">
            <v>1786.8615103928332</v>
          </cell>
        </row>
        <row r="484">
          <cell r="D484">
            <v>8870</v>
          </cell>
          <cell r="E484"/>
          <cell r="F484">
            <v>6566.5400000000009</v>
          </cell>
          <cell r="G484">
            <v>1572.31</v>
          </cell>
          <cell r="H484">
            <v>7188.92</v>
          </cell>
          <cell r="I484">
            <v>2092.4700000000003</v>
          </cell>
          <cell r="J484">
            <v>4112.07</v>
          </cell>
          <cell r="K484">
            <v>3428.9700000000003</v>
          </cell>
          <cell r="L484">
            <v>3814.2485201239683</v>
          </cell>
          <cell r="M484">
            <v>3487.0083311958811</v>
          </cell>
          <cell r="N484">
            <v>3377.0821008988346</v>
          </cell>
          <cell r="O484">
            <v>3607.4173354408717</v>
          </cell>
          <cell r="P484">
            <v>3376.5041800488957</v>
          </cell>
          <cell r="Q484">
            <v>3402.1981421768801</v>
          </cell>
          <cell r="R484">
            <v>3620.1566149222349</v>
          </cell>
          <cell r="S484">
            <v>3401.8437124365951</v>
          </cell>
          <cell r="T484">
            <v>3505.437177151116</v>
          </cell>
          <cell r="U484">
            <v>3540.2843888797988</v>
          </cell>
          <cell r="V484">
            <v>3428.7484266563856</v>
          </cell>
          <cell r="W484">
            <v>3620.1861432949181</v>
          </cell>
          <cell r="X484">
            <v>3517.2063449657667</v>
          </cell>
          <cell r="Y484">
            <v>3569.5221233963616</v>
          </cell>
          <cell r="Z484">
            <v>3456.2782890189078</v>
          </cell>
          <cell r="AA484">
            <v>3693.2487317217597</v>
          </cell>
          <cell r="AB484">
            <v>3455.7003681689689</v>
          </cell>
          <cell r="AC484">
            <v>3481.3943302969533</v>
          </cell>
          <cell r="AD484">
            <v>3705.9880112031228</v>
          </cell>
          <cell r="AE484">
            <v>3481.0399005566683</v>
          </cell>
          <cell r="AF484">
            <v>3587.9509693515965</v>
          </cell>
        </row>
        <row r="485">
          <cell r="D485">
            <v>8890</v>
          </cell>
          <cell r="E485"/>
          <cell r="F485">
            <v>183.17</v>
          </cell>
          <cell r="G485">
            <v>176.64</v>
          </cell>
          <cell r="H485">
            <v>0</v>
          </cell>
          <cell r="I485">
            <v>0</v>
          </cell>
          <cell r="J485">
            <v>0</v>
          </cell>
          <cell r="K485">
            <v>3405.21</v>
          </cell>
          <cell r="L485">
            <v>482.66056495110234</v>
          </cell>
          <cell r="M485">
            <v>466.54296463593533</v>
          </cell>
          <cell r="N485">
            <v>468.68828356474467</v>
          </cell>
          <cell r="O485">
            <v>498.44220153347226</v>
          </cell>
          <cell r="P485">
            <v>466.81138926780932</v>
          </cell>
          <cell r="Q485">
            <v>550.25681434423802</v>
          </cell>
          <cell r="R485">
            <v>480.82142327981114</v>
          </cell>
          <cell r="S485">
            <v>490.11203273192336</v>
          </cell>
          <cell r="T485">
            <v>467.40885054520618</v>
          </cell>
          <cell r="U485">
            <v>606.38353898317234</v>
          </cell>
          <cell r="V485">
            <v>603.30098514616827</v>
          </cell>
          <cell r="W485">
            <v>506.72872968519397</v>
          </cell>
          <cell r="X485">
            <v>529.74345762206679</v>
          </cell>
          <cell r="Y485">
            <v>466.54296463593533</v>
          </cell>
          <cell r="Z485">
            <v>468.68828356474467</v>
          </cell>
          <cell r="AA485">
            <v>498.44220153347226</v>
          </cell>
          <cell r="AB485">
            <v>466.81138926780932</v>
          </cell>
          <cell r="AC485">
            <v>550.25681434423802</v>
          </cell>
          <cell r="AD485">
            <v>480.82142327981114</v>
          </cell>
          <cell r="AE485">
            <v>490.11203273192336</v>
          </cell>
          <cell r="AF485">
            <v>467.40885054520618</v>
          </cell>
        </row>
        <row r="486">
          <cell r="D486">
            <v>8900</v>
          </cell>
          <cell r="E486"/>
          <cell r="F486">
            <v>0</v>
          </cell>
          <cell r="G486">
            <v>458.34000000000003</v>
          </cell>
          <cell r="H486">
            <v>4685.16</v>
          </cell>
          <cell r="I486">
            <v>488.02</v>
          </cell>
          <cell r="J486">
            <v>341.08</v>
          </cell>
          <cell r="K486">
            <v>0</v>
          </cell>
          <cell r="L486">
            <v>765.66352641604931</v>
          </cell>
          <cell r="M486">
            <v>740.09554015239951</v>
          </cell>
          <cell r="N486">
            <v>743.49874434101116</v>
          </cell>
          <cell r="O486">
            <v>790.69856013482433</v>
          </cell>
          <cell r="P486">
            <v>740.52135275268597</v>
          </cell>
          <cell r="Q486">
            <v>872.89412788043512</v>
          </cell>
          <cell r="R486">
            <v>762.74602330957066</v>
          </cell>
          <cell r="S486">
            <v>777.48408420000032</v>
          </cell>
          <cell r="T486">
            <v>741.46912918558166</v>
          </cell>
          <cell r="U486">
            <v>961.93016901129215</v>
          </cell>
          <cell r="V486">
            <v>957.04019205316422</v>
          </cell>
          <cell r="W486">
            <v>803.84380718237605</v>
          </cell>
          <cell r="X486">
            <v>840.35297953093368</v>
          </cell>
          <cell r="Y486">
            <v>740.09554015239951</v>
          </cell>
          <cell r="Z486">
            <v>743.49874434101116</v>
          </cell>
          <cell r="AA486">
            <v>790.69856013482433</v>
          </cell>
          <cell r="AB486">
            <v>740.52135275268597</v>
          </cell>
          <cell r="AC486">
            <v>872.89412788043512</v>
          </cell>
          <cell r="AD486">
            <v>762.74602330957066</v>
          </cell>
          <cell r="AE486">
            <v>777.48408420000032</v>
          </cell>
          <cell r="AF486">
            <v>741.46912918558166</v>
          </cell>
        </row>
        <row r="487">
          <cell r="D487">
            <v>8910</v>
          </cell>
          <cell r="E487"/>
          <cell r="F487">
            <v>0</v>
          </cell>
          <cell r="G487">
            <v>6514.98</v>
          </cell>
          <cell r="H487">
            <v>1048.92</v>
          </cell>
          <cell r="I487">
            <v>669.78</v>
          </cell>
          <cell r="J487">
            <v>5814.73</v>
          </cell>
          <cell r="K487">
            <v>280.12</v>
          </cell>
          <cell r="L487">
            <v>1899.3749309618656</v>
          </cell>
          <cell r="M487">
            <v>1872.3167403570633</v>
          </cell>
          <cell r="N487">
            <v>1876.3177650563996</v>
          </cell>
          <cell r="O487">
            <v>1944.1085121296842</v>
          </cell>
          <cell r="P487">
            <v>1873.5787557521091</v>
          </cell>
          <cell r="Q487">
            <v>2057.689002606026</v>
          </cell>
          <cell r="R487">
            <v>1930.2695406310718</v>
          </cell>
          <cell r="S487">
            <v>1952.4494988673821</v>
          </cell>
          <cell r="T487">
            <v>1902.903770593879</v>
          </cell>
          <cell r="U487">
            <v>2194.4911668654568</v>
          </cell>
          <cell r="V487">
            <v>2187.7445690219511</v>
          </cell>
          <cell r="W487">
            <v>1974.7469223402718</v>
          </cell>
          <cell r="X487">
            <v>2028.8101945701494</v>
          </cell>
          <cell r="Y487">
            <v>1872.3167403570633</v>
          </cell>
          <cell r="Z487">
            <v>1876.3177650563996</v>
          </cell>
          <cell r="AA487">
            <v>1944.1085121296842</v>
          </cell>
          <cell r="AB487">
            <v>1873.5787557521091</v>
          </cell>
          <cell r="AC487">
            <v>2057.689002606026</v>
          </cell>
          <cell r="AD487">
            <v>1930.2695406310718</v>
          </cell>
          <cell r="AE487">
            <v>1952.4494988673821</v>
          </cell>
          <cell r="AF487">
            <v>1902.903770593879</v>
          </cell>
        </row>
        <row r="488">
          <cell r="D488">
            <v>8920</v>
          </cell>
          <cell r="E488"/>
          <cell r="F488">
            <v>407.76</v>
          </cell>
          <cell r="G488">
            <v>651.98</v>
          </cell>
          <cell r="H488">
            <v>-5.0000000000000284</v>
          </cell>
          <cell r="I488">
            <v>-26.340000000000003</v>
          </cell>
          <cell r="J488">
            <v>0</v>
          </cell>
          <cell r="K488">
            <v>827.3</v>
          </cell>
          <cell r="L488">
            <v>297.04769077061832</v>
          </cell>
          <cell r="M488">
            <v>286.24726236807982</v>
          </cell>
          <cell r="N488">
            <v>276.65382800639537</v>
          </cell>
          <cell r="O488">
            <v>298.96057208149267</v>
          </cell>
          <cell r="P488">
            <v>276.48182763474483</v>
          </cell>
          <cell r="Q488">
            <v>284.1288454498216</v>
          </cell>
          <cell r="R488">
            <v>297.34578726737197</v>
          </cell>
          <cell r="S488">
            <v>278.61712067818769</v>
          </cell>
          <cell r="T488">
            <v>286.32661297319635</v>
          </cell>
          <cell r="U488">
            <v>299.06238509439396</v>
          </cell>
          <cell r="V488">
            <v>288.98986351925811</v>
          </cell>
          <cell r="W488">
            <v>299.71995737245754</v>
          </cell>
          <cell r="X488">
            <v>292.03901542516979</v>
          </cell>
          <cell r="Y488">
            <v>293.55204705984295</v>
          </cell>
          <cell r="Z488">
            <v>283.66491169553086</v>
          </cell>
          <cell r="AA488">
            <v>306.55905777588345</v>
          </cell>
          <cell r="AB488">
            <v>283.49291132388032</v>
          </cell>
          <cell r="AC488">
            <v>291.13992913895709</v>
          </cell>
          <cell r="AD488">
            <v>304.94427296176275</v>
          </cell>
          <cell r="AE488">
            <v>285.62820436732318</v>
          </cell>
          <cell r="AF488">
            <v>293.63139766495948</v>
          </cell>
        </row>
        <row r="489">
          <cell r="D489">
            <v>8930</v>
          </cell>
          <cell r="E489"/>
          <cell r="F489">
            <v>7219.07</v>
          </cell>
          <cell r="G489">
            <v>6049.89</v>
          </cell>
          <cell r="H489">
            <v>6481.26</v>
          </cell>
          <cell r="I489">
            <v>9382.41</v>
          </cell>
          <cell r="J489">
            <v>11681.470000000001</v>
          </cell>
          <cell r="K489">
            <v>12949.92</v>
          </cell>
          <cell r="L489">
            <v>8990.5007429160269</v>
          </cell>
          <cell r="M489">
            <v>8659.0287301657536</v>
          </cell>
          <cell r="N489">
            <v>8311.885787443256</v>
          </cell>
          <cell r="O489">
            <v>9007.8128559052038</v>
          </cell>
          <cell r="P489">
            <v>8311.7953081589785</v>
          </cell>
          <cell r="Q489">
            <v>8315.8179546924293</v>
          </cell>
          <cell r="R489">
            <v>9006.9634125415469</v>
          </cell>
          <cell r="S489">
            <v>8312.9185603033857</v>
          </cell>
          <cell r="T489">
            <v>8659.0704718543857</v>
          </cell>
          <cell r="U489">
            <v>8665.7700128797951</v>
          </cell>
          <cell r="V489">
            <v>8318.3750505380158</v>
          </cell>
          <cell r="W489">
            <v>9008.2123238654112</v>
          </cell>
          <cell r="X489">
            <v>8662.0754309739787</v>
          </cell>
          <cell r="Y489">
            <v>8918.1248741562304</v>
          </cell>
          <cell r="Z489">
            <v>8560.5645405758241</v>
          </cell>
          <cell r="AA489">
            <v>9277.3263907535857</v>
          </cell>
          <cell r="AB489">
            <v>8560.4740612915466</v>
          </cell>
          <cell r="AC489">
            <v>8564.4967078249974</v>
          </cell>
          <cell r="AD489">
            <v>9276.4769473899287</v>
          </cell>
          <cell r="AE489">
            <v>8561.5973134359538</v>
          </cell>
          <cell r="AF489">
            <v>8918.1666158448625</v>
          </cell>
        </row>
        <row r="490">
          <cell r="D490">
            <v>8940</v>
          </cell>
          <cell r="E490"/>
          <cell r="F490">
            <v>-939.42000000000053</v>
          </cell>
          <cell r="G490">
            <v>3275.9400000000005</v>
          </cell>
          <cell r="H490">
            <v>2206.33</v>
          </cell>
          <cell r="I490">
            <v>22510.899999999998</v>
          </cell>
          <cell r="J490">
            <v>3953.74</v>
          </cell>
          <cell r="K490">
            <v>7867.85</v>
          </cell>
          <cell r="L490">
            <v>5288.7890018109356</v>
          </cell>
          <cell r="M490">
            <v>5485.0007363785426</v>
          </cell>
          <cell r="N490">
            <v>5495.0960815500166</v>
          </cell>
          <cell r="O490">
            <v>5639.3150559749147</v>
          </cell>
          <cell r="P490">
            <v>5485.9961985711743</v>
          </cell>
          <cell r="Q490">
            <v>5890.5707153967542</v>
          </cell>
          <cell r="R490">
            <v>5666.2554314437475</v>
          </cell>
          <cell r="S490">
            <v>5711.2675618629546</v>
          </cell>
          <cell r="T490">
            <v>5601.1565258263654</v>
          </cell>
          <cell r="U490">
            <v>6226.0488740354394</v>
          </cell>
          <cell r="V490">
            <v>6210.914867044763</v>
          </cell>
          <cell r="W490">
            <v>5742.6574770562102</v>
          </cell>
          <cell r="X490">
            <v>5854.2415235009494</v>
          </cell>
          <cell r="Y490">
            <v>5485.0007363785426</v>
          </cell>
          <cell r="Z490">
            <v>5495.0960815500166</v>
          </cell>
          <cell r="AA490">
            <v>5639.3150559749147</v>
          </cell>
          <cell r="AB490">
            <v>5485.9961985711743</v>
          </cell>
          <cell r="AC490">
            <v>5890.5707153967542</v>
          </cell>
          <cell r="AD490">
            <v>5666.2554314437475</v>
          </cell>
          <cell r="AE490">
            <v>5711.2675618629546</v>
          </cell>
          <cell r="AF490">
            <v>5601.1565258263654</v>
          </cell>
        </row>
        <row r="491">
          <cell r="D491">
            <v>8950</v>
          </cell>
          <cell r="E491"/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D492">
            <v>9010</v>
          </cell>
          <cell r="E492"/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</row>
        <row r="493">
          <cell r="D493">
            <v>9020</v>
          </cell>
          <cell r="E493"/>
          <cell r="F493">
            <v>91878.5</v>
          </cell>
          <cell r="G493">
            <v>121879.09</v>
          </cell>
          <cell r="H493">
            <v>107089.15</v>
          </cell>
          <cell r="I493">
            <v>114825.07</v>
          </cell>
          <cell r="J493">
            <v>114277.71</v>
          </cell>
          <cell r="K493">
            <v>98163.080000000016</v>
          </cell>
          <cell r="L493">
            <v>91904.068009899143</v>
          </cell>
          <cell r="M493">
            <v>93767.564472194528</v>
          </cell>
          <cell r="N493">
            <v>91733.621204861323</v>
          </cell>
          <cell r="O493">
            <v>93868.778369874664</v>
          </cell>
          <cell r="P493">
            <v>91595.312056961542</v>
          </cell>
          <cell r="Q493">
            <v>91785.63105843676</v>
          </cell>
          <cell r="R493">
            <v>95894.740133966261</v>
          </cell>
          <cell r="S493">
            <v>94459.31329742627</v>
          </cell>
          <cell r="T493">
            <v>94899.498125393526</v>
          </cell>
          <cell r="U493">
            <v>94391.81071407655</v>
          </cell>
          <cell r="V493">
            <v>93514.221580935962</v>
          </cell>
          <cell r="W493">
            <v>94731.950261473263</v>
          </cell>
          <cell r="X493">
            <v>94174.034502924609</v>
          </cell>
          <cell r="Y493">
            <v>94424.040671314826</v>
          </cell>
          <cell r="Z493">
            <v>92363.702687912824</v>
          </cell>
          <cell r="AA493">
            <v>94551.649285063759</v>
          </cell>
          <cell r="AB493">
            <v>92225.393540013043</v>
          </cell>
          <cell r="AC493">
            <v>92415.712541488261</v>
          </cell>
          <cell r="AD493">
            <v>96577.611049155355</v>
          </cell>
          <cell r="AE493">
            <v>95089.394780477771</v>
          </cell>
          <cell r="AF493">
            <v>95555.974324513823</v>
          </cell>
        </row>
        <row r="494">
          <cell r="D494">
            <v>9030</v>
          </cell>
          <cell r="E494"/>
          <cell r="F494">
            <v>29218.42</v>
          </cell>
          <cell r="G494">
            <v>33171.210000000006</v>
          </cell>
          <cell r="H494">
            <v>42346.36</v>
          </cell>
          <cell r="I494">
            <v>35783.97</v>
          </cell>
          <cell r="J494">
            <v>32199.810000000005</v>
          </cell>
          <cell r="K494">
            <v>22339.38</v>
          </cell>
          <cell r="L494">
            <v>31821.260962221946</v>
          </cell>
          <cell r="M494">
            <v>31227.064302774084</v>
          </cell>
          <cell r="N494">
            <v>29830.539000543515</v>
          </cell>
          <cell r="O494">
            <v>32309.83711962531</v>
          </cell>
          <cell r="P494">
            <v>29754.276383339547</v>
          </cell>
          <cell r="Q494">
            <v>29867.456777517975</v>
          </cell>
          <cell r="R494">
            <v>32087.887880180999</v>
          </cell>
          <cell r="S494">
            <v>29856.293326473406</v>
          </cell>
          <cell r="T494">
            <v>30878.147796849458</v>
          </cell>
          <cell r="U494">
            <v>31212.496438074479</v>
          </cell>
          <cell r="V494">
            <v>30028.817107578048</v>
          </cell>
          <cell r="W494">
            <v>32080.60875815092</v>
          </cell>
          <cell r="X494">
            <v>31030.559179991469</v>
          </cell>
          <cell r="Y494">
            <v>32093.239663517012</v>
          </cell>
          <cell r="Z494">
            <v>30661.888342089951</v>
          </cell>
          <cell r="AA494">
            <v>33210.838499564728</v>
          </cell>
          <cell r="AB494">
            <v>30585.625724885984</v>
          </cell>
          <cell r="AC494">
            <v>30698.806119064411</v>
          </cell>
          <cell r="AD494">
            <v>32988.889260120413</v>
          </cell>
          <cell r="AE494">
            <v>30687.642668019842</v>
          </cell>
          <cell r="AF494">
            <v>31744.323157592386</v>
          </cell>
        </row>
        <row r="495">
          <cell r="D495">
            <v>9040</v>
          </cell>
          <cell r="E495"/>
          <cell r="F495">
            <v>116325</v>
          </cell>
          <cell r="G495">
            <v>24247</v>
          </cell>
          <cell r="H495">
            <v>19571</v>
          </cell>
          <cell r="I495">
            <v>175706</v>
          </cell>
          <cell r="J495">
            <v>19482</v>
          </cell>
          <cell r="K495">
            <v>19404</v>
          </cell>
          <cell r="L495">
            <v>19353.669999999998</v>
          </cell>
          <cell r="M495">
            <v>23326.492099999999</v>
          </cell>
          <cell r="N495">
            <v>28927.181799999998</v>
          </cell>
          <cell r="O495">
            <v>38323.659299999999</v>
          </cell>
          <cell r="P495">
            <v>43791.047299999998</v>
          </cell>
          <cell r="Q495">
            <v>35864.659899999999</v>
          </cell>
          <cell r="R495">
            <v>33799.703399999999</v>
          </cell>
          <cell r="S495">
            <v>25622.7657</v>
          </cell>
          <cell r="T495">
            <v>21295.3393</v>
          </cell>
          <cell r="U495">
            <v>21186.127383439885</v>
          </cell>
          <cell r="V495">
            <v>20401.051177681464</v>
          </cell>
          <cell r="W495">
            <v>21087.119766173932</v>
          </cell>
          <cell r="X495">
            <v>20693.010549829349</v>
          </cell>
          <cell r="Y495">
            <v>26046.040328151932</v>
          </cell>
          <cell r="Z495">
            <v>38672.553045638655</v>
          </cell>
          <cell r="AA495">
            <v>42568.32115217868</v>
          </cell>
          <cell r="AB495">
            <v>43059.558756837694</v>
          </cell>
          <cell r="AC495">
            <v>38649.959919875182</v>
          </cell>
          <cell r="AD495">
            <v>22455.961386114643</v>
          </cell>
          <cell r="AE495">
            <v>4938.0573762805652</v>
          </cell>
          <cell r="AF495">
            <v>13668.419573133933</v>
          </cell>
        </row>
        <row r="496">
          <cell r="D496">
            <v>9070</v>
          </cell>
          <cell r="E496"/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D497">
            <v>9080</v>
          </cell>
          <cell r="E497"/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</row>
        <row r="498">
          <cell r="D498">
            <v>9090</v>
          </cell>
          <cell r="E498"/>
          <cell r="F498">
            <v>13254.63</v>
          </cell>
          <cell r="G498">
            <v>10828.58</v>
          </cell>
          <cell r="H498">
            <v>10459.480000000001</v>
          </cell>
          <cell r="I498">
            <v>9693.25</v>
          </cell>
          <cell r="J498">
            <v>9061</v>
          </cell>
          <cell r="K498">
            <v>11759.7</v>
          </cell>
          <cell r="L498">
            <v>10077.151073149667</v>
          </cell>
          <cell r="M498">
            <v>10445.978825107728</v>
          </cell>
          <cell r="N498">
            <v>9702.8456945889011</v>
          </cell>
          <cell r="O498">
            <v>10477.361251187627</v>
          </cell>
          <cell r="P498">
            <v>9684.9952905439059</v>
          </cell>
          <cell r="Q498">
            <v>9707.4605098010543</v>
          </cell>
          <cell r="R498">
            <v>10390.574277549018</v>
          </cell>
          <cell r="S498">
            <v>9928.8705797213443</v>
          </cell>
          <cell r="T498">
            <v>10021.060243137696</v>
          </cell>
          <cell r="U498">
            <v>10215.339350150252</v>
          </cell>
          <cell r="V498">
            <v>9886.4097579202789</v>
          </cell>
          <cell r="W498">
            <v>10337.145357602538</v>
          </cell>
          <cell r="X498">
            <v>10216.969652849475</v>
          </cell>
          <cell r="Y498">
            <v>10693.835908906985</v>
          </cell>
          <cell r="Z498">
            <v>9940.7372726146205</v>
          </cell>
          <cell r="AA498">
            <v>10735.183840760425</v>
          </cell>
          <cell r="AB498">
            <v>9922.8868685696289</v>
          </cell>
          <cell r="AC498">
            <v>9945.3520878267755</v>
          </cell>
          <cell r="AD498">
            <v>10648.396867121815</v>
          </cell>
          <cell r="AE498">
            <v>10166.762157747067</v>
          </cell>
          <cell r="AF498">
            <v>10268.917326936953</v>
          </cell>
        </row>
        <row r="499">
          <cell r="D499">
            <v>9100</v>
          </cell>
          <cell r="E499"/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85</v>
          </cell>
          <cell r="L499">
            <v>20.804444358192605</v>
          </cell>
          <cell r="M499">
            <v>19.059756159003275</v>
          </cell>
          <cell r="N499">
            <v>11.74575177838436</v>
          </cell>
          <cell r="O499">
            <v>8.2054167573347652</v>
          </cell>
          <cell r="P499">
            <v>27.972780680483876</v>
          </cell>
          <cell r="Q499">
            <v>10.995414318812838</v>
          </cell>
          <cell r="R499">
            <v>18.128699489803793</v>
          </cell>
          <cell r="S499">
            <v>14.620983293495767</v>
          </cell>
          <cell r="T499">
            <v>18.528660308869494</v>
          </cell>
          <cell r="U499">
            <v>8.2086820201159192</v>
          </cell>
          <cell r="V499">
            <v>12.629888315251963</v>
          </cell>
          <cell r="W499">
            <v>8.7837904743594031</v>
          </cell>
          <cell r="X499">
            <v>19.810924097013746</v>
          </cell>
          <cell r="Y499">
            <v>19.059756159003275</v>
          </cell>
          <cell r="Z499">
            <v>11.74575177838436</v>
          </cell>
          <cell r="AA499">
            <v>8.2054167573347652</v>
          </cell>
          <cell r="AB499">
            <v>27.972780680483876</v>
          </cell>
          <cell r="AC499">
            <v>10.995414318812838</v>
          </cell>
          <cell r="AD499">
            <v>18.128699489803793</v>
          </cell>
          <cell r="AE499">
            <v>14.620983293495767</v>
          </cell>
          <cell r="AF499">
            <v>18.528660308869494</v>
          </cell>
        </row>
        <row r="500">
          <cell r="D500">
            <v>9110</v>
          </cell>
          <cell r="E500"/>
          <cell r="F500">
            <v>25969.919999999998</v>
          </cell>
          <cell r="G500">
            <v>21692.07</v>
          </cell>
          <cell r="H500">
            <v>23129.51</v>
          </cell>
          <cell r="I500">
            <v>20081.000000000004</v>
          </cell>
          <cell r="J500">
            <v>20661.919999999995</v>
          </cell>
          <cell r="K500">
            <v>20121.519999999997</v>
          </cell>
          <cell r="L500">
            <v>22042.555614759964</v>
          </cell>
          <cell r="M500">
            <v>22626.745178017976</v>
          </cell>
          <cell r="N500">
            <v>19256.641307057555</v>
          </cell>
          <cell r="O500">
            <v>19713.086385617135</v>
          </cell>
          <cell r="P500">
            <v>23332.601016946988</v>
          </cell>
          <cell r="Q500">
            <v>19119.135529537121</v>
          </cell>
          <cell r="R500">
            <v>22069.213952372225</v>
          </cell>
          <cell r="S500">
            <v>20427.048363348204</v>
          </cell>
          <cell r="T500">
            <v>21581.169272824907</v>
          </cell>
          <cell r="U500">
            <v>19322.031733742351</v>
          </cell>
          <cell r="V500">
            <v>19932.253516155692</v>
          </cell>
          <cell r="W500">
            <v>19555.151618401498</v>
          </cell>
          <cell r="X500">
            <v>22208.354674738126</v>
          </cell>
          <cell r="Y500">
            <v>23020.403476125051</v>
          </cell>
          <cell r="Z500">
            <v>19634.471919377105</v>
          </cell>
          <cell r="AA500">
            <v>20122.572369511734</v>
          </cell>
          <cell r="AB500">
            <v>23710.431629266539</v>
          </cell>
          <cell r="AC500">
            <v>19496.966141856672</v>
          </cell>
          <cell r="AD500">
            <v>22478.699936266825</v>
          </cell>
          <cell r="AE500">
            <v>20804.878975667754</v>
          </cell>
          <cell r="AF500">
            <v>21974.827570931982</v>
          </cell>
        </row>
        <row r="501">
          <cell r="D501">
            <v>9120</v>
          </cell>
          <cell r="E501"/>
          <cell r="F501">
            <v>4837.5599999999995</v>
          </cell>
          <cell r="G501">
            <v>2654.57</v>
          </cell>
          <cell r="H501">
            <v>3217.87</v>
          </cell>
          <cell r="I501">
            <v>3010.72</v>
          </cell>
          <cell r="J501">
            <v>5580.03</v>
          </cell>
          <cell r="K501">
            <v>6680.0300000000007</v>
          </cell>
          <cell r="L501">
            <v>6359.0081399110968</v>
          </cell>
          <cell r="M501">
            <v>5825.7333131848127</v>
          </cell>
          <cell r="N501">
            <v>3590.1622692801502</v>
          </cell>
          <cell r="O501">
            <v>2508.0367950662107</v>
          </cell>
          <cell r="P501">
            <v>8550.0548335047279</v>
          </cell>
          <cell r="Q501">
            <v>3360.8169461873667</v>
          </cell>
          <cell r="R501">
            <v>5541.1500368318175</v>
          </cell>
          <cell r="S501">
            <v>4468.994709788105</v>
          </cell>
          <cell r="T501">
            <v>5663.4005550525926</v>
          </cell>
          <cell r="U501">
            <v>2509.0348429951446</v>
          </cell>
          <cell r="V501">
            <v>3860.4041146250811</v>
          </cell>
          <cell r="W501">
            <v>2684.8203280050266</v>
          </cell>
          <cell r="X501">
            <v>6055.3324771907382</v>
          </cell>
          <cell r="Y501">
            <v>5825.7333131848127</v>
          </cell>
          <cell r="Z501">
            <v>3590.1622692801502</v>
          </cell>
          <cell r="AA501">
            <v>2508.0367950662107</v>
          </cell>
          <cell r="AB501">
            <v>8550.0548335047279</v>
          </cell>
          <cell r="AC501">
            <v>3360.8169461873667</v>
          </cell>
          <cell r="AD501">
            <v>5541.1500368318175</v>
          </cell>
          <cell r="AE501">
            <v>4468.994709788105</v>
          </cell>
          <cell r="AF501">
            <v>5663.4005550525926</v>
          </cell>
        </row>
        <row r="502">
          <cell r="D502">
            <v>9130</v>
          </cell>
          <cell r="E502"/>
          <cell r="F502">
            <v>1518.5</v>
          </cell>
          <cell r="G502">
            <v>2316.4</v>
          </cell>
          <cell r="H502">
            <v>2743.6</v>
          </cell>
          <cell r="I502">
            <v>1195.6199999999999</v>
          </cell>
          <cell r="J502">
            <v>1209.0999999999999</v>
          </cell>
          <cell r="K502">
            <v>1707.1799999999998</v>
          </cell>
          <cell r="L502">
            <v>2616.5627290214375</v>
          </cell>
          <cell r="M502">
            <v>2397.1343204965715</v>
          </cell>
          <cell r="N502">
            <v>1477.2562919016489</v>
          </cell>
          <cell r="O502">
            <v>1031.9904388542539</v>
          </cell>
          <cell r="P502">
            <v>3518.1201716075866</v>
          </cell>
          <cell r="Q502">
            <v>1382.8867909863145</v>
          </cell>
          <cell r="R502">
            <v>2280.0358708917465</v>
          </cell>
          <cell r="S502">
            <v>1838.8724682445545</v>
          </cell>
          <cell r="T502">
            <v>2330.33870783457</v>
          </cell>
          <cell r="U502">
            <v>1032.4011090334966</v>
          </cell>
          <cell r="V502">
            <v>1588.4536240631717</v>
          </cell>
          <cell r="W502">
            <v>1104.7321610246088</v>
          </cell>
          <cell r="X502">
            <v>2491.6082701966557</v>
          </cell>
          <cell r="Y502">
            <v>2397.1343204965715</v>
          </cell>
          <cell r="Z502">
            <v>1477.2562919016489</v>
          </cell>
          <cell r="AA502">
            <v>1031.9904388542539</v>
          </cell>
          <cell r="AB502">
            <v>3518.1201716075866</v>
          </cell>
          <cell r="AC502">
            <v>1382.8867909863145</v>
          </cell>
          <cell r="AD502">
            <v>2280.0358708917465</v>
          </cell>
          <cell r="AE502">
            <v>1838.8724682445545</v>
          </cell>
          <cell r="AF502">
            <v>2330.33870783457</v>
          </cell>
        </row>
        <row r="503">
          <cell r="D503">
            <v>9160</v>
          </cell>
          <cell r="E503"/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</row>
        <row r="504">
          <cell r="D504">
            <v>9200</v>
          </cell>
          <cell r="E504"/>
          <cell r="F504">
            <v>12707.710000000001</v>
          </cell>
          <cell r="G504">
            <v>12580.02</v>
          </cell>
          <cell r="H504">
            <v>10884.4</v>
          </cell>
          <cell r="I504">
            <v>10341.33</v>
          </cell>
          <cell r="J504">
            <v>11470.779999999999</v>
          </cell>
          <cell r="K504">
            <v>10422.359999999999</v>
          </cell>
          <cell r="L504">
            <v>11448.097855261576</v>
          </cell>
          <cell r="M504">
            <v>11025.913104683399</v>
          </cell>
          <cell r="N504">
            <v>10582.597952988071</v>
          </cell>
          <cell r="O504">
            <v>11469.228256378728</v>
          </cell>
          <cell r="P504">
            <v>10582.597952988071</v>
          </cell>
          <cell r="Q504">
            <v>10582.597952988071</v>
          </cell>
          <cell r="R504">
            <v>11469.228256378728</v>
          </cell>
          <cell r="S504">
            <v>10582.597952988071</v>
          </cell>
          <cell r="T504">
            <v>11025.913104683399</v>
          </cell>
          <cell r="U504">
            <v>11025.913104683399</v>
          </cell>
          <cell r="V504">
            <v>10582.597952988071</v>
          </cell>
          <cell r="W504">
            <v>11469.228256378728</v>
          </cell>
          <cell r="X504">
            <v>11025.913104683399</v>
          </cell>
          <cell r="Y504">
            <v>11356.690497823902</v>
          </cell>
          <cell r="Z504">
            <v>10900.075891577715</v>
          </cell>
          <cell r="AA504">
            <v>11813.305104070092</v>
          </cell>
          <cell r="AB504">
            <v>10900.075891577715</v>
          </cell>
          <cell r="AC504">
            <v>10900.075891577715</v>
          </cell>
          <cell r="AD504">
            <v>11813.305104070092</v>
          </cell>
          <cell r="AE504">
            <v>10900.075891577715</v>
          </cell>
          <cell r="AF504">
            <v>11356.690497823902</v>
          </cell>
        </row>
        <row r="505">
          <cell r="D505">
            <v>9210</v>
          </cell>
          <cell r="E505"/>
          <cell r="F505">
            <v>2050.1099999999997</v>
          </cell>
          <cell r="G505">
            <v>374.2</v>
          </cell>
          <cell r="H505">
            <v>-50</v>
          </cell>
          <cell r="I505">
            <v>1058.8800000000001</v>
          </cell>
          <cell r="J505">
            <v>784.09</v>
          </cell>
          <cell r="K505">
            <v>291.29999999999995</v>
          </cell>
          <cell r="L505">
            <v>474.18724170309872</v>
          </cell>
          <cell r="M505">
            <v>568.7192730069246</v>
          </cell>
          <cell r="N505">
            <v>474.97241968299255</v>
          </cell>
          <cell r="O505">
            <v>530.19736756898271</v>
          </cell>
          <cell r="P505">
            <v>574.29439170761214</v>
          </cell>
          <cell r="Q505">
            <v>479.03295254295307</v>
          </cell>
          <cell r="R505">
            <v>488.02905202739061</v>
          </cell>
          <cell r="S505">
            <v>540.53069432185032</v>
          </cell>
          <cell r="T505">
            <v>642.03973246881321</v>
          </cell>
          <cell r="U505">
            <v>543.03077634849785</v>
          </cell>
          <cell r="V505">
            <v>542.68630036605168</v>
          </cell>
          <cell r="W505">
            <v>566.80065023316399</v>
          </cell>
          <cell r="X505">
            <v>898.07877716975838</v>
          </cell>
          <cell r="Y505">
            <v>568.7192730069246</v>
          </cell>
          <cell r="Z505">
            <v>474.97241968299255</v>
          </cell>
          <cell r="AA505">
            <v>530.19736756898271</v>
          </cell>
          <cell r="AB505">
            <v>574.29439170761214</v>
          </cell>
          <cell r="AC505">
            <v>479.03295254295307</v>
          </cell>
          <cell r="AD505">
            <v>488.02905202739061</v>
          </cell>
          <cell r="AE505">
            <v>540.53069432185032</v>
          </cell>
          <cell r="AF505">
            <v>642.03973246881321</v>
          </cell>
        </row>
        <row r="506">
          <cell r="D506">
            <v>9220</v>
          </cell>
          <cell r="E506"/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</row>
        <row r="507">
          <cell r="D507">
            <v>9230</v>
          </cell>
          <cell r="E507"/>
          <cell r="F507">
            <v>5000</v>
          </cell>
          <cell r="G507">
            <v>16505.96</v>
          </cell>
          <cell r="H507">
            <v>15128</v>
          </cell>
          <cell r="I507">
            <v>26698.15</v>
          </cell>
          <cell r="J507">
            <v>28801.38</v>
          </cell>
          <cell r="K507">
            <v>17583.39</v>
          </cell>
          <cell r="L507">
            <v>15156.142124985698</v>
          </cell>
          <cell r="M507">
            <v>15352.499896005793</v>
          </cell>
          <cell r="N507">
            <v>15354.214436103812</v>
          </cell>
          <cell r="O507">
            <v>15356.149753148897</v>
          </cell>
          <cell r="P507">
            <v>15351.039175670536</v>
          </cell>
          <cell r="Q507">
            <v>15345.571293424473</v>
          </cell>
          <cell r="R507">
            <v>15869.712803195502</v>
          </cell>
          <cell r="S507">
            <v>15869.701074001288</v>
          </cell>
          <cell r="T507">
            <v>15869.809839119567</v>
          </cell>
          <cell r="U507">
            <v>15639.701142928685</v>
          </cell>
          <cell r="V507">
            <v>15638.689416147887</v>
          </cell>
          <cell r="W507">
            <v>15639.251747230424</v>
          </cell>
          <cell r="X507">
            <v>15637.908476596547</v>
          </cell>
          <cell r="Y507">
            <v>15352.499896005793</v>
          </cell>
          <cell r="Z507">
            <v>15354.214436103812</v>
          </cell>
          <cell r="AA507">
            <v>15356.149753148897</v>
          </cell>
          <cell r="AB507">
            <v>15351.039175670536</v>
          </cell>
          <cell r="AC507">
            <v>15345.571293424473</v>
          </cell>
          <cell r="AD507">
            <v>15869.712803195502</v>
          </cell>
          <cell r="AE507">
            <v>15869.701074001288</v>
          </cell>
          <cell r="AF507">
            <v>15869.809839119567</v>
          </cell>
        </row>
        <row r="508">
          <cell r="D508">
            <v>9240</v>
          </cell>
          <cell r="E508"/>
          <cell r="F508">
            <v>14569.170000000002</v>
          </cell>
          <cell r="G508">
            <v>13795.710000000003</v>
          </cell>
          <cell r="H508">
            <v>13774.810000000001</v>
          </cell>
          <cell r="I508">
            <v>12964.590000000004</v>
          </cell>
          <cell r="J508">
            <v>12827.59</v>
          </cell>
          <cell r="K508">
            <v>12682.93</v>
          </cell>
          <cell r="L508">
            <v>978.9117505371205</v>
          </cell>
          <cell r="M508">
            <v>679.37987320095499</v>
          </cell>
          <cell r="N508">
            <v>679.37987320095499</v>
          </cell>
          <cell r="O508">
            <v>679.37987320095499</v>
          </cell>
          <cell r="P508">
            <v>679.37987320095499</v>
          </cell>
          <cell r="Q508">
            <v>679.37987320095499</v>
          </cell>
          <cell r="R508">
            <v>679.37987320095499</v>
          </cell>
          <cell r="S508">
            <v>679.37987320095499</v>
          </cell>
          <cell r="T508">
            <v>679.37987320095499</v>
          </cell>
          <cell r="U508">
            <v>679.37987320095499</v>
          </cell>
          <cell r="V508">
            <v>679.37987320095499</v>
          </cell>
          <cell r="W508">
            <v>679.37987320095499</v>
          </cell>
          <cell r="X508">
            <v>684.10435076146246</v>
          </cell>
          <cell r="Y508">
            <v>679.37987320095499</v>
          </cell>
          <cell r="Z508">
            <v>679.37987320095499</v>
          </cell>
          <cell r="AA508">
            <v>679.37987320095499</v>
          </cell>
          <cell r="AB508">
            <v>679.37987320095499</v>
          </cell>
          <cell r="AC508">
            <v>679.37987320095499</v>
          </cell>
          <cell r="AD508">
            <v>679.37987320095499</v>
          </cell>
          <cell r="AE508">
            <v>679.37987320095499</v>
          </cell>
          <cell r="AF508">
            <v>679.37987320095499</v>
          </cell>
        </row>
        <row r="509">
          <cell r="D509">
            <v>9250</v>
          </cell>
          <cell r="E509"/>
          <cell r="F509">
            <v>367.52</v>
          </cell>
          <cell r="G509">
            <v>114712.07</v>
          </cell>
          <cell r="H509">
            <v>4709.78</v>
          </cell>
          <cell r="I509">
            <v>201.04999999999998</v>
          </cell>
          <cell r="J509">
            <v>4757.2299999999996</v>
          </cell>
          <cell r="K509">
            <v>1613.0700000000002</v>
          </cell>
          <cell r="L509">
            <v>17281.029880148395</v>
          </cell>
          <cell r="M509">
            <v>17719.864597458512</v>
          </cell>
          <cell r="N509">
            <v>17753.356802580875</v>
          </cell>
          <cell r="O509">
            <v>17792.213367870689</v>
          </cell>
          <cell r="P509">
            <v>17690.708070822329</v>
          </cell>
          <cell r="Q509">
            <v>17582.825301733279</v>
          </cell>
          <cell r="R509">
            <v>18142.065153464013</v>
          </cell>
          <cell r="S509">
            <v>18141.161487413676</v>
          </cell>
          <cell r="T509">
            <v>18145.110937686291</v>
          </cell>
          <cell r="U509">
            <v>17883.824587989151</v>
          </cell>
          <cell r="V509">
            <v>17863.526823443746</v>
          </cell>
          <cell r="W509">
            <v>17875.294011001133</v>
          </cell>
          <cell r="X509">
            <v>17866.063115161276</v>
          </cell>
          <cell r="Y509">
            <v>17721.496971626784</v>
          </cell>
          <cell r="Z509">
            <v>17754.923547787432</v>
          </cell>
          <cell r="AA509">
            <v>17793.911377920143</v>
          </cell>
          <cell r="AB509">
            <v>17692.274816028887</v>
          </cell>
          <cell r="AC509">
            <v>17584.392046939836</v>
          </cell>
          <cell r="AD509">
            <v>18143.763163513468</v>
          </cell>
          <cell r="AE509">
            <v>18142.728232620233</v>
          </cell>
          <cell r="AF509">
            <v>18146.743311854563</v>
          </cell>
        </row>
        <row r="510">
          <cell r="D510">
            <v>9260</v>
          </cell>
          <cell r="E510"/>
          <cell r="F510">
            <v>239184.93999999997</v>
          </cell>
          <cell r="G510">
            <v>199130.44</v>
          </cell>
          <cell r="H510">
            <v>190844.51</v>
          </cell>
          <cell r="I510">
            <v>188032.59000000003</v>
          </cell>
          <cell r="J510">
            <v>203542.83000000002</v>
          </cell>
          <cell r="K510">
            <v>165489.64000000004</v>
          </cell>
          <cell r="L510">
            <v>192558.10974872197</v>
          </cell>
          <cell r="M510">
            <v>165889.05894580614</v>
          </cell>
          <cell r="N510">
            <v>160405.9341118822</v>
          </cell>
          <cell r="O510">
            <v>174046.27767636869</v>
          </cell>
          <cell r="P510">
            <v>158904.57993927697</v>
          </cell>
          <cell r="Q510">
            <v>156015.04880665118</v>
          </cell>
          <cell r="R510">
            <v>167688.5829344083</v>
          </cell>
          <cell r="S510">
            <v>155081.27794563622</v>
          </cell>
          <cell r="T510">
            <v>161604.60975947444</v>
          </cell>
          <cell r="U510">
            <v>161470.44406617677</v>
          </cell>
          <cell r="V510">
            <v>154646.44383749049</v>
          </cell>
          <cell r="W510">
            <v>167602.18647844606</v>
          </cell>
          <cell r="X510">
            <v>161376.11666293329</v>
          </cell>
          <cell r="Y510">
            <v>196555.77653682866</v>
          </cell>
          <cell r="Z510">
            <v>189839.70837787975</v>
          </cell>
          <cell r="AA510">
            <v>205946.06858549675</v>
          </cell>
          <cell r="AB510">
            <v>188338.35420527452</v>
          </cell>
          <cell r="AC510">
            <v>185448.82307264872</v>
          </cell>
          <cell r="AD510">
            <v>199588.37384353636</v>
          </cell>
          <cell r="AE510">
            <v>184515.05221163377</v>
          </cell>
          <cell r="AF510">
            <v>192271.32735049695</v>
          </cell>
        </row>
        <row r="511">
          <cell r="D511">
            <v>9270</v>
          </cell>
          <cell r="E511"/>
          <cell r="F511">
            <v>0</v>
          </cell>
          <cell r="G511">
            <v>320.64999999999998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31.131796978184095</v>
          </cell>
          <cell r="M511">
            <v>6.8781297713498875</v>
          </cell>
          <cell r="N511">
            <v>6.8781297713498875</v>
          </cell>
          <cell r="O511">
            <v>6.8781297713498875</v>
          </cell>
          <cell r="P511">
            <v>6.8781297713498875</v>
          </cell>
          <cell r="Q511">
            <v>6.8781297713498875</v>
          </cell>
          <cell r="R511">
            <v>6.8781297713498875</v>
          </cell>
          <cell r="S511">
            <v>6.8781297713498875</v>
          </cell>
          <cell r="T511">
            <v>6.8781297713498875</v>
          </cell>
          <cell r="U511">
            <v>6.8781297713498875</v>
          </cell>
          <cell r="V511">
            <v>6.8781297713498875</v>
          </cell>
          <cell r="W511">
            <v>6.8781297713498875</v>
          </cell>
          <cell r="X511">
            <v>6.9382007737197551</v>
          </cell>
          <cell r="Y511">
            <v>6.8781297713498875</v>
          </cell>
          <cell r="Z511">
            <v>6.8781297713498875</v>
          </cell>
          <cell r="AA511">
            <v>6.8781297713498875</v>
          </cell>
          <cell r="AB511">
            <v>6.8781297713498875</v>
          </cell>
          <cell r="AC511">
            <v>6.8781297713498875</v>
          </cell>
          <cell r="AD511">
            <v>6.8781297713498875</v>
          </cell>
          <cell r="AE511">
            <v>6.8781297713498875</v>
          </cell>
          <cell r="AF511">
            <v>6.8781297713498875</v>
          </cell>
        </row>
        <row r="512">
          <cell r="D512">
            <v>9280</v>
          </cell>
          <cell r="E512"/>
          <cell r="F512">
            <v>-258.72000000000003</v>
          </cell>
          <cell r="G512">
            <v>0</v>
          </cell>
          <cell r="H512">
            <v>4256.79</v>
          </cell>
          <cell r="I512">
            <v>2299.5</v>
          </cell>
          <cell r="J512">
            <v>0</v>
          </cell>
          <cell r="K512">
            <v>0</v>
          </cell>
          <cell r="L512">
            <v>881.12427799364548</v>
          </cell>
          <cell r="M512">
            <v>911.73725018665618</v>
          </cell>
          <cell r="N512">
            <v>911.73725018665618</v>
          </cell>
          <cell r="O512">
            <v>911.73725018665618</v>
          </cell>
          <cell r="P512">
            <v>911.73725018665618</v>
          </cell>
          <cell r="Q512">
            <v>911.73725018665618</v>
          </cell>
          <cell r="R512">
            <v>943.20216374564802</v>
          </cell>
          <cell r="S512">
            <v>943.20216374564802</v>
          </cell>
          <cell r="T512">
            <v>943.19744424458918</v>
          </cell>
          <cell r="U512">
            <v>929.43537915714057</v>
          </cell>
          <cell r="V512">
            <v>929.43537915714057</v>
          </cell>
          <cell r="W512">
            <v>929.43537915714057</v>
          </cell>
          <cell r="X512">
            <v>929.33027619157951</v>
          </cell>
          <cell r="Y512">
            <v>911.73725018665618</v>
          </cell>
          <cell r="Z512">
            <v>911.73725018665618</v>
          </cell>
          <cell r="AA512">
            <v>911.73725018665618</v>
          </cell>
          <cell r="AB512">
            <v>911.73725018665618</v>
          </cell>
          <cell r="AC512">
            <v>911.73725018665618</v>
          </cell>
          <cell r="AD512">
            <v>943.20216374564802</v>
          </cell>
          <cell r="AE512">
            <v>943.20216374564802</v>
          </cell>
          <cell r="AF512">
            <v>943.19744424458918</v>
          </cell>
        </row>
        <row r="513">
          <cell r="D513">
            <v>9290</v>
          </cell>
          <cell r="E513"/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</row>
        <row r="514">
          <cell r="D514">
            <v>9301</v>
          </cell>
          <cell r="E514"/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</row>
        <row r="515">
          <cell r="D515">
            <v>9302</v>
          </cell>
          <cell r="E515"/>
          <cell r="F515">
            <v>2044.4</v>
          </cell>
          <cell r="G515">
            <v>8530</v>
          </cell>
          <cell r="H515">
            <v>350</v>
          </cell>
          <cell r="I515">
            <v>634.18000000000006</v>
          </cell>
          <cell r="J515">
            <v>3425</v>
          </cell>
          <cell r="K515">
            <v>11200</v>
          </cell>
          <cell r="L515">
            <v>2555.681226754627</v>
          </cell>
          <cell r="M515">
            <v>809.18469804998574</v>
          </cell>
          <cell r="N515">
            <v>4083.3953419365744</v>
          </cell>
          <cell r="O515">
            <v>1065.6613466830836</v>
          </cell>
          <cell r="P515">
            <v>6016.8319710824844</v>
          </cell>
          <cell r="Q515">
            <v>1563.643480575729</v>
          </cell>
          <cell r="R515">
            <v>934.92910160829513</v>
          </cell>
          <cell r="S515">
            <v>6292.9479262996174</v>
          </cell>
          <cell r="T515">
            <v>756.91569130588334</v>
          </cell>
          <cell r="U515">
            <v>869.94716653117905</v>
          </cell>
          <cell r="V515">
            <v>927.5575217594303</v>
          </cell>
          <cell r="W515">
            <v>1261.1585263505492</v>
          </cell>
          <cell r="X515">
            <v>6168.3104621632456</v>
          </cell>
          <cell r="Y515">
            <v>809.18469804998574</v>
          </cell>
          <cell r="Z515">
            <v>4083.3953419365744</v>
          </cell>
          <cell r="AA515">
            <v>1065.6613466830836</v>
          </cell>
          <cell r="AB515">
            <v>6016.8319710824844</v>
          </cell>
          <cell r="AC515">
            <v>1563.643480575729</v>
          </cell>
          <cell r="AD515">
            <v>934.92910160829513</v>
          </cell>
          <cell r="AE515">
            <v>6292.9479262996174</v>
          </cell>
          <cell r="AF515">
            <v>756.91569130588334</v>
          </cell>
        </row>
        <row r="516">
          <cell r="D516">
            <v>9310</v>
          </cell>
          <cell r="E516"/>
          <cell r="F516">
            <v>1205.95</v>
          </cell>
          <cell r="G516">
            <v>1218.99</v>
          </cell>
          <cell r="H516">
            <v>1205.95</v>
          </cell>
          <cell r="I516">
            <v>1218.99</v>
          </cell>
          <cell r="J516">
            <v>1269.0899999999999</v>
          </cell>
          <cell r="K516">
            <v>1262.26</v>
          </cell>
          <cell r="L516">
            <v>1060.7689702700823</v>
          </cell>
          <cell r="M516">
            <v>1020.7838886422805</v>
          </cell>
          <cell r="N516">
            <v>1002.3665868911468</v>
          </cell>
          <cell r="O516">
            <v>1071.0308537297005</v>
          </cell>
          <cell r="P516">
            <v>1038.5426456347327</v>
          </cell>
          <cell r="Q516">
            <v>1072.7430701022731</v>
          </cell>
          <cell r="R516">
            <v>990.11765437966562</v>
          </cell>
          <cell r="S516">
            <v>1038.2353247473477</v>
          </cell>
          <cell r="T516">
            <v>1043.4158768489779</v>
          </cell>
          <cell r="U516">
            <v>1024.8668661461077</v>
          </cell>
          <cell r="V516">
            <v>1025.0424780817561</v>
          </cell>
          <cell r="W516">
            <v>987.43957236102642</v>
          </cell>
          <cell r="X516">
            <v>1084.7426336651336</v>
          </cell>
          <cell r="Y516">
            <v>1020.7838886422805</v>
          </cell>
          <cell r="Z516">
            <v>1002.3665868911468</v>
          </cell>
          <cell r="AA516">
            <v>1071.0308537297005</v>
          </cell>
          <cell r="AB516">
            <v>1038.5426456347327</v>
          </cell>
          <cell r="AC516">
            <v>1072.7430701022731</v>
          </cell>
          <cell r="AD516">
            <v>990.11765437966562</v>
          </cell>
          <cell r="AE516">
            <v>1038.2353247473477</v>
          </cell>
          <cell r="AF516">
            <v>1043.4158768489779</v>
          </cell>
        </row>
        <row r="517">
          <cell r="D517">
            <v>9320</v>
          </cell>
          <cell r="E517"/>
          <cell r="F517">
            <v>0</v>
          </cell>
          <cell r="G517">
            <v>0</v>
          </cell>
          <cell r="H517">
            <v>0</v>
          </cell>
          <cell r="I517">
            <v>1248.08</v>
          </cell>
          <cell r="J517">
            <v>0</v>
          </cell>
          <cell r="K517">
            <v>0</v>
          </cell>
          <cell r="L517">
            <v>119.94376094926857</v>
          </cell>
          <cell r="M517">
            <v>36.14788171679303</v>
          </cell>
          <cell r="N517">
            <v>195.51828080211249</v>
          </cell>
          <cell r="O517">
            <v>50.176391769339062</v>
          </cell>
          <cell r="P517">
            <v>286.54047393374833</v>
          </cell>
          <cell r="Q517">
            <v>73.829112206771327</v>
          </cell>
          <cell r="R517">
            <v>42.36610035868901</v>
          </cell>
          <cell r="S517">
            <v>301.8935363307906</v>
          </cell>
          <cell r="T517">
            <v>33.701048568093142</v>
          </cell>
          <cell r="U517">
            <v>40.715303594366155</v>
          </cell>
          <cell r="V517">
            <v>42.835892323239392</v>
          </cell>
          <cell r="W517">
            <v>59.539606618363969</v>
          </cell>
          <cell r="X517">
            <v>295.08807773320666</v>
          </cell>
          <cell r="Y517">
            <v>36.14788171679303</v>
          </cell>
          <cell r="Z517">
            <v>195.51828080211249</v>
          </cell>
          <cell r="AA517">
            <v>50.176391769339062</v>
          </cell>
          <cell r="AB517">
            <v>286.54047393374833</v>
          </cell>
          <cell r="AC517">
            <v>73.829112206771327</v>
          </cell>
          <cell r="AD517">
            <v>42.36610035868901</v>
          </cell>
          <cell r="AE517">
            <v>301.8935363307906</v>
          </cell>
          <cell r="AF517">
            <v>33.701048568093142</v>
          </cell>
        </row>
      </sheetData>
      <sheetData sheetId="5">
        <row r="57">
          <cell r="F57">
            <v>5763.48</v>
          </cell>
          <cell r="G57">
            <v>6016.73</v>
          </cell>
          <cell r="H57">
            <v>10149.280000000001</v>
          </cell>
          <cell r="I57">
            <v>9356.43</v>
          </cell>
          <cell r="J57">
            <v>10084.58</v>
          </cell>
          <cell r="K57">
            <v>15450.71</v>
          </cell>
          <cell r="L57">
            <v>3057.8893017093242</v>
          </cell>
          <cell r="M57">
            <v>3884.635196953303</v>
          </cell>
          <cell r="N57">
            <v>4859.7433309350308</v>
          </cell>
          <cell r="O57">
            <v>5145.6433777783986</v>
          </cell>
          <cell r="P57">
            <v>5598.3313864495003</v>
          </cell>
          <cell r="Q57">
            <v>5073.0927048785943</v>
          </cell>
          <cell r="U57">
            <v>4084.9088376788013</v>
          </cell>
          <cell r="V57">
            <v>10686.187136215121</v>
          </cell>
          <cell r="W57">
            <v>741.85780450832874</v>
          </cell>
          <cell r="X57">
            <v>769.12513396531358</v>
          </cell>
          <cell r="Y57">
            <v>3884.635196953303</v>
          </cell>
          <cell r="Z57">
            <v>4859.7433309350308</v>
          </cell>
          <cell r="AA57">
            <v>5145.6433777783986</v>
          </cell>
          <cell r="AB57">
            <v>5598.3313864495003</v>
          </cell>
          <cell r="AC57">
            <v>5073.0927048785943</v>
          </cell>
          <cell r="AD57">
            <v>4687.5541073338354</v>
          </cell>
          <cell r="AE57">
            <v>4311.4597940533076</v>
          </cell>
          <cell r="AF57">
            <v>5627.2440778378204</v>
          </cell>
        </row>
        <row r="220">
          <cell r="F220">
            <v>887.5</v>
          </cell>
          <cell r="G220">
            <v>166.21</v>
          </cell>
          <cell r="H220">
            <v>1561.3</v>
          </cell>
          <cell r="I220">
            <v>2766.39</v>
          </cell>
          <cell r="J220">
            <v>0</v>
          </cell>
          <cell r="K220">
            <v>1604.5</v>
          </cell>
          <cell r="L220">
            <v>1526.7209274636073</v>
          </cell>
          <cell r="M220">
            <v>1395.9212457061935</v>
          </cell>
          <cell r="N220">
            <v>1325.4467082426197</v>
          </cell>
          <cell r="O220">
            <v>1451.3052003576295</v>
          </cell>
          <cell r="P220">
            <v>1427.5457931577705</v>
          </cell>
          <cell r="Q220">
            <v>1473.1678846296336</v>
          </cell>
          <cell r="U220">
            <v>1409.9126028531912</v>
          </cell>
          <cell r="V220">
            <v>1409.2111804144549</v>
          </cell>
          <cell r="W220">
            <v>1393.5572910381047</v>
          </cell>
          <cell r="X220">
            <v>2338.6735582263677</v>
          </cell>
          <cell r="Y220">
            <v>1395.9212457061935</v>
          </cell>
          <cell r="Z220">
            <v>1325.4467082426197</v>
          </cell>
          <cell r="AA220">
            <v>1451.3052003576295</v>
          </cell>
          <cell r="AB220">
            <v>1427.5457931577705</v>
          </cell>
          <cell r="AC220">
            <v>1473.1678846296336</v>
          </cell>
          <cell r="AD220">
            <v>1490.5196580981033</v>
          </cell>
          <cell r="AE220">
            <v>1395.5680331482918</v>
          </cell>
          <cell r="AF220">
            <v>1379.5900345157729</v>
          </cell>
        </row>
        <row r="223">
          <cell r="F223">
            <v>21679.74</v>
          </cell>
          <cell r="G223">
            <v>12088.21</v>
          </cell>
          <cell r="H223">
            <v>14292.47</v>
          </cell>
          <cell r="I223">
            <v>7069.24</v>
          </cell>
          <cell r="J223">
            <v>0</v>
          </cell>
          <cell r="K223">
            <v>15104.81</v>
          </cell>
          <cell r="L223">
            <v>15349.265689218984</v>
          </cell>
          <cell r="M223">
            <v>14034.238803005235</v>
          </cell>
          <cell r="N223">
            <v>13325.705645180295</v>
          </cell>
          <cell r="O223">
            <v>14591.055061675934</v>
          </cell>
          <cell r="P223">
            <v>14352.183996788621</v>
          </cell>
          <cell r="Q223">
            <v>14810.856954434426</v>
          </cell>
          <cell r="U223">
            <v>14174.904365609924</v>
          </cell>
          <cell r="V223">
            <v>14167.85244198795</v>
          </cell>
          <cell r="W223">
            <v>14010.472201247803</v>
          </cell>
          <cell r="X223">
            <v>23512.43187922001</v>
          </cell>
          <cell r="Y223">
            <v>14034.238803005235</v>
          </cell>
          <cell r="Z223">
            <v>13325.705645180295</v>
          </cell>
          <cell r="AA223">
            <v>14591.055061675934</v>
          </cell>
          <cell r="AB223">
            <v>14352.183996788621</v>
          </cell>
          <cell r="AC223">
            <v>14810.856954434426</v>
          </cell>
          <cell r="AD223">
            <v>14985.30729198836</v>
          </cell>
          <cell r="AE223">
            <v>14030.687693369888</v>
          </cell>
          <cell r="AF223">
            <v>13870.048940222019</v>
          </cell>
        </row>
        <row r="247">
          <cell r="D247">
            <v>7590</v>
          </cell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D248">
            <v>8140</v>
          </cell>
          <cell r="E248"/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D249">
            <v>8150</v>
          </cell>
          <cell r="E249"/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D250">
            <v>8160</v>
          </cell>
          <cell r="E250"/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D251">
            <v>8170</v>
          </cell>
          <cell r="E251"/>
          <cell r="F251">
            <v>41.25</v>
          </cell>
          <cell r="G251">
            <v>40.92</v>
          </cell>
          <cell r="H251">
            <v>38.36</v>
          </cell>
          <cell r="I251">
            <v>37.630000000000003</v>
          </cell>
          <cell r="J251">
            <v>41.48</v>
          </cell>
          <cell r="K251">
            <v>42.81</v>
          </cell>
          <cell r="L251">
            <v>38.982137567098867</v>
          </cell>
          <cell r="M251">
            <v>40.632852957823019</v>
          </cell>
          <cell r="N251">
            <v>41.089256801354722</v>
          </cell>
          <cell r="O251">
            <v>44.444441813263438</v>
          </cell>
          <cell r="P251">
            <v>47.069106559098891</v>
          </cell>
          <cell r="Q251">
            <v>48.143642935461813</v>
          </cell>
          <cell r="R251">
            <v>48.997515591678777</v>
          </cell>
          <cell r="S251">
            <v>49.351125776757392</v>
          </cell>
          <cell r="T251">
            <v>45.121509376941091</v>
          </cell>
          <cell r="U251">
            <v>43.397317079154668</v>
          </cell>
          <cell r="V251">
            <v>42.787408038999693</v>
          </cell>
          <cell r="W251">
            <v>43.25477653943306</v>
          </cell>
          <cell r="X251">
            <v>42.019827232598821</v>
          </cell>
          <cell r="Y251">
            <v>40.632852957823019</v>
          </cell>
          <cell r="Z251">
            <v>41.089256801354722</v>
          </cell>
          <cell r="AA251">
            <v>44.444441813263438</v>
          </cell>
          <cell r="AB251">
            <v>47.069106559098891</v>
          </cell>
          <cell r="AC251">
            <v>48.143642935461813</v>
          </cell>
          <cell r="AD251">
            <v>48.997515591678777</v>
          </cell>
          <cell r="AE251">
            <v>49.351125776757392</v>
          </cell>
          <cell r="AF251">
            <v>45.121509376941091</v>
          </cell>
        </row>
        <row r="252">
          <cell r="D252">
            <v>8180</v>
          </cell>
          <cell r="E252"/>
          <cell r="F252">
            <v>43.100000000000023</v>
          </cell>
          <cell r="G252">
            <v>42.759999999999991</v>
          </cell>
          <cell r="H252">
            <v>40.080000000000013</v>
          </cell>
          <cell r="I252">
            <v>39.319999999999965</v>
          </cell>
          <cell r="J252">
            <v>43.349999999999994</v>
          </cell>
          <cell r="K252">
            <v>30.579999999999984</v>
          </cell>
          <cell r="L252">
            <v>38.457980963804403</v>
          </cell>
          <cell r="M252">
            <v>40.086500717598199</v>
          </cell>
          <cell r="N252">
            <v>40.53676772248312</v>
          </cell>
          <cell r="O252">
            <v>43.846838677312746</v>
          </cell>
          <cell r="P252">
            <v>46.43621199369295</v>
          </cell>
          <cell r="Q252">
            <v>47.496300077265801</v>
          </cell>
          <cell r="R252">
            <v>48.338691500819323</v>
          </cell>
          <cell r="S252">
            <v>48.687547018117527</v>
          </cell>
          <cell r="T252">
            <v>44.514802342217081</v>
          </cell>
          <cell r="U252">
            <v>42.813793657096312</v>
          </cell>
          <cell r="V252">
            <v>42.212085497415273</v>
          </cell>
          <cell r="W252">
            <v>42.673169727642801</v>
          </cell>
          <cell r="X252">
            <v>41.454825637307891</v>
          </cell>
          <cell r="Y252">
            <v>40.086500717598199</v>
          </cell>
          <cell r="Z252">
            <v>40.53676772248312</v>
          </cell>
          <cell r="AA252">
            <v>43.846838677312746</v>
          </cell>
          <cell r="AB252">
            <v>46.43621199369295</v>
          </cell>
          <cell r="AC252">
            <v>47.496300077265801</v>
          </cell>
          <cell r="AD252">
            <v>48.338691500819323</v>
          </cell>
          <cell r="AE252">
            <v>48.687547018117527</v>
          </cell>
          <cell r="AF252">
            <v>44.514802342217081</v>
          </cell>
        </row>
        <row r="253">
          <cell r="D253">
            <v>8190</v>
          </cell>
          <cell r="E253"/>
          <cell r="F253">
            <v>880.41</v>
          </cell>
          <cell r="G253">
            <v>553.48</v>
          </cell>
          <cell r="H253">
            <v>1520.59</v>
          </cell>
          <cell r="I253">
            <v>4.5</v>
          </cell>
          <cell r="J253">
            <v>0</v>
          </cell>
          <cell r="K253">
            <v>5.48</v>
          </cell>
          <cell r="L253">
            <v>476.63843073690202</v>
          </cell>
          <cell r="M253">
            <v>496.82189020147672</v>
          </cell>
          <cell r="N253">
            <v>502.40238489314919</v>
          </cell>
          <cell r="O253">
            <v>543.42656208598441</v>
          </cell>
          <cell r="P253">
            <v>575.51859612368037</v>
          </cell>
          <cell r="Q253">
            <v>588.65705810047075</v>
          </cell>
          <cell r="R253">
            <v>599.09744306417019</v>
          </cell>
          <cell r="S253">
            <v>603.42106958204249</v>
          </cell>
          <cell r="T253">
            <v>551.70513379074771</v>
          </cell>
          <cell r="U253">
            <v>530.62326495554078</v>
          </cell>
          <cell r="V253">
            <v>523.16584712432677</v>
          </cell>
          <cell r="W253">
            <v>528.88040775453794</v>
          </cell>
          <cell r="X253">
            <v>513.78056109692682</v>
          </cell>
          <cell r="Y253">
            <v>496.82189020147672</v>
          </cell>
          <cell r="Z253">
            <v>502.40238489314919</v>
          </cell>
          <cell r="AA253">
            <v>543.42656208598441</v>
          </cell>
          <cell r="AB253">
            <v>575.51859612368037</v>
          </cell>
          <cell r="AC253">
            <v>588.65705810047075</v>
          </cell>
          <cell r="AD253">
            <v>599.09744306417019</v>
          </cell>
          <cell r="AE253">
            <v>603.42106958204249</v>
          </cell>
          <cell r="AF253">
            <v>551.70513379074771</v>
          </cell>
        </row>
        <row r="254">
          <cell r="D254">
            <v>8200</v>
          </cell>
          <cell r="E254"/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D255">
            <v>8210</v>
          </cell>
          <cell r="E255"/>
          <cell r="F255">
            <v>778.32999999999993</v>
          </cell>
          <cell r="G255">
            <v>213.39999999999998</v>
          </cell>
          <cell r="H255">
            <v>119.17999999999999</v>
          </cell>
          <cell r="I255">
            <v>151.1</v>
          </cell>
          <cell r="J255">
            <v>139.33000000000001</v>
          </cell>
          <cell r="K255">
            <v>15.97</v>
          </cell>
          <cell r="L255">
            <v>227.88110288812078</v>
          </cell>
          <cell r="M255">
            <v>237.53082625552543</v>
          </cell>
          <cell r="N255">
            <v>240.19886391886183</v>
          </cell>
          <cell r="O255">
            <v>259.81254620068631</v>
          </cell>
          <cell r="P255">
            <v>275.15576579614947</v>
          </cell>
          <cell r="Q255">
            <v>281.43727188640696</v>
          </cell>
          <cell r="R255">
            <v>286.42882583312945</v>
          </cell>
          <cell r="S255">
            <v>288.49595411283155</v>
          </cell>
          <cell r="T255">
            <v>263.77053600755772</v>
          </cell>
          <cell r="U255">
            <v>253.69128261273127</v>
          </cell>
          <cell r="V255">
            <v>250.12588693650093</v>
          </cell>
          <cell r="W255">
            <v>252.85802160075835</v>
          </cell>
          <cell r="X255">
            <v>245.63877638702672</v>
          </cell>
          <cell r="Y255">
            <v>237.53082625552543</v>
          </cell>
          <cell r="Z255">
            <v>240.19886391886183</v>
          </cell>
          <cell r="AA255">
            <v>259.81254620068631</v>
          </cell>
          <cell r="AB255">
            <v>275.15576579614947</v>
          </cell>
          <cell r="AC255">
            <v>281.43727188640696</v>
          </cell>
          <cell r="AD255">
            <v>286.42882583312945</v>
          </cell>
          <cell r="AE255">
            <v>288.49595411283155</v>
          </cell>
          <cell r="AF255">
            <v>263.77053600755772</v>
          </cell>
        </row>
        <row r="256">
          <cell r="D256">
            <v>8240</v>
          </cell>
          <cell r="E256"/>
          <cell r="F256">
            <v>58.33</v>
          </cell>
          <cell r="G256">
            <v>39.68</v>
          </cell>
          <cell r="H256">
            <v>15.11</v>
          </cell>
          <cell r="I256">
            <v>4.7699999999999996</v>
          </cell>
          <cell r="J256">
            <v>0</v>
          </cell>
          <cell r="K256">
            <v>0</v>
          </cell>
          <cell r="L256">
            <v>18.954853362694514</v>
          </cell>
          <cell r="M256">
            <v>19.757504785307304</v>
          </cell>
          <cell r="N256">
            <v>19.979428683488173</v>
          </cell>
          <cell r="O256">
            <v>21.610869232277278</v>
          </cell>
          <cell r="P256">
            <v>22.887098256350455</v>
          </cell>
          <cell r="Q256">
            <v>23.409585752367878</v>
          </cell>
          <cell r="R256">
            <v>23.824776709024583</v>
          </cell>
          <cell r="S256">
            <v>23.996717747254809</v>
          </cell>
          <cell r="T256">
            <v>21.940089669818871</v>
          </cell>
          <cell r="U256">
            <v>21.101710498913359</v>
          </cell>
          <cell r="V256">
            <v>20.805145529872856</v>
          </cell>
          <cell r="W256">
            <v>21.032400933115127</v>
          </cell>
          <cell r="X256">
            <v>20.431913518049392</v>
          </cell>
          <cell r="Y256">
            <v>19.757504785307304</v>
          </cell>
          <cell r="Z256">
            <v>19.979428683488173</v>
          </cell>
          <cell r="AA256">
            <v>21.610869232277278</v>
          </cell>
          <cell r="AB256">
            <v>22.887098256350455</v>
          </cell>
          <cell r="AC256">
            <v>23.409585752367878</v>
          </cell>
          <cell r="AD256">
            <v>23.824776709024583</v>
          </cell>
          <cell r="AE256">
            <v>23.996717747254809</v>
          </cell>
          <cell r="AF256">
            <v>21.940089669818871</v>
          </cell>
        </row>
        <row r="257">
          <cell r="D257">
            <v>8250</v>
          </cell>
          <cell r="E257"/>
          <cell r="F257">
            <v>2558.46</v>
          </cell>
          <cell r="G257">
            <v>3774.05</v>
          </cell>
          <cell r="H257">
            <v>2399.5500000000002</v>
          </cell>
          <cell r="I257">
            <v>1008.2900000000001</v>
          </cell>
          <cell r="J257">
            <v>289.12</v>
          </cell>
          <cell r="K257">
            <v>544.21</v>
          </cell>
          <cell r="L257">
            <v>1700.0810408351495</v>
          </cell>
          <cell r="M257">
            <v>1772.0717041166185</v>
          </cell>
          <cell r="N257">
            <v>1791.9762955469105</v>
          </cell>
          <cell r="O257">
            <v>1938.3019406560832</v>
          </cell>
          <cell r="P257">
            <v>2052.7682847672213</v>
          </cell>
          <cell r="Q257">
            <v>2099.6307462727736</v>
          </cell>
          <cell r="R257">
            <v>2136.8696665762923</v>
          </cell>
          <cell r="S257">
            <v>2152.2912419186805</v>
          </cell>
          <cell r="T257">
            <v>1967.8300732884081</v>
          </cell>
          <cell r="U257">
            <v>1892.6349501073055</v>
          </cell>
          <cell r="V257">
            <v>1866.0357213190778</v>
          </cell>
          <cell r="W257">
            <v>1886.4185011320792</v>
          </cell>
          <cell r="X257">
            <v>1832.5601435874844</v>
          </cell>
          <cell r="Y257">
            <v>1772.0717041166185</v>
          </cell>
          <cell r="Z257">
            <v>1791.9762955469105</v>
          </cell>
          <cell r="AA257">
            <v>1938.3019406560832</v>
          </cell>
          <cell r="AB257">
            <v>2052.7682847672213</v>
          </cell>
          <cell r="AC257">
            <v>2099.6307462727736</v>
          </cell>
          <cell r="AD257">
            <v>2136.8696665762923</v>
          </cell>
          <cell r="AE257">
            <v>2152.2912419186805</v>
          </cell>
          <cell r="AF257">
            <v>1967.8300732884081</v>
          </cell>
        </row>
        <row r="258">
          <cell r="D258">
            <v>8310</v>
          </cell>
          <cell r="E258"/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D259">
            <v>8320</v>
          </cell>
          <cell r="E259"/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D260">
            <v>8340</v>
          </cell>
          <cell r="E260"/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D261">
            <v>8350</v>
          </cell>
          <cell r="E261"/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D262">
            <v>8360</v>
          </cell>
          <cell r="E262"/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D263">
            <v>8370</v>
          </cell>
          <cell r="E263"/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D264">
            <v>8400</v>
          </cell>
          <cell r="E264"/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D265">
            <v>8410</v>
          </cell>
          <cell r="E265"/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D266">
            <v>8470</v>
          </cell>
          <cell r="E266"/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D267">
            <v>8500</v>
          </cell>
          <cell r="E267"/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D268">
            <v>8520</v>
          </cell>
          <cell r="E268"/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D269">
            <v>8560</v>
          </cell>
          <cell r="E269"/>
          <cell r="F269">
            <v>615.09999999999991</v>
          </cell>
          <cell r="G269">
            <v>54.980000000000018</v>
          </cell>
          <cell r="H269">
            <v>51.529999999999973</v>
          </cell>
          <cell r="I269">
            <v>50.56</v>
          </cell>
          <cell r="J269">
            <v>55.729999999999961</v>
          </cell>
          <cell r="K269">
            <v>125.81</v>
          </cell>
          <cell r="L269">
            <v>186.6020142957847</v>
          </cell>
          <cell r="M269">
            <v>178.03136367119168</v>
          </cell>
          <cell r="N269">
            <v>193.665517757609</v>
          </cell>
          <cell r="O269">
            <v>193.23683912238252</v>
          </cell>
          <cell r="P269">
            <v>202.36081226440996</v>
          </cell>
          <cell r="Q269">
            <v>189.55526525305982</v>
          </cell>
          <cell r="R269">
            <v>200.28184586500734</v>
          </cell>
          <cell r="S269">
            <v>198.89915501277977</v>
          </cell>
          <cell r="T269">
            <v>212.01153141088085</v>
          </cell>
          <cell r="U269">
            <v>180.53474797225684</v>
          </cell>
          <cell r="V269">
            <v>185.05508232658852</v>
          </cell>
          <cell r="W269">
            <v>202.49665909877274</v>
          </cell>
          <cell r="X269">
            <v>189.56120747297021</v>
          </cell>
          <cell r="Y269">
            <v>181.45324336972965</v>
          </cell>
          <cell r="Z269">
            <v>196.93241776361486</v>
          </cell>
          <cell r="AA269">
            <v>196.81369913695752</v>
          </cell>
          <cell r="AB269">
            <v>205.62771227041577</v>
          </cell>
          <cell r="AC269">
            <v>192.82216525906563</v>
          </cell>
          <cell r="AD269">
            <v>203.85870587958235</v>
          </cell>
          <cell r="AE269">
            <v>202.1660550187857</v>
          </cell>
          <cell r="AF269">
            <v>215.43341110941881</v>
          </cell>
        </row>
        <row r="270">
          <cell r="D270">
            <v>8570</v>
          </cell>
          <cell r="E270"/>
          <cell r="F270">
            <v>82.49</v>
          </cell>
          <cell r="G270">
            <v>81.84</v>
          </cell>
          <cell r="H270">
            <v>76.709999999999994</v>
          </cell>
          <cell r="I270">
            <v>75.260000000000005</v>
          </cell>
          <cell r="J270">
            <v>82.96</v>
          </cell>
          <cell r="K270">
            <v>85.63</v>
          </cell>
          <cell r="L270">
            <v>77.96266729185632</v>
          </cell>
          <cell r="M270">
            <v>81.264029988528776</v>
          </cell>
          <cell r="N270">
            <v>82.176818850933742</v>
          </cell>
          <cell r="O270">
            <v>88.887050488073015</v>
          </cell>
          <cell r="P270">
            <v>94.136271723825345</v>
          </cell>
          <cell r="Q270">
            <v>96.285300156634662</v>
          </cell>
          <cell r="R270">
            <v>97.993010250563486</v>
          </cell>
          <cell r="S270">
            <v>98.700216035850218</v>
          </cell>
          <cell r="T270">
            <v>90.241157689358474</v>
          </cell>
          <cell r="U270">
            <v>86.792844209161913</v>
          </cell>
          <cell r="V270">
            <v>85.573051284927033</v>
          </cell>
          <cell r="W270">
            <v>86.507769008891287</v>
          </cell>
          <cell r="X270">
            <v>84.037921331469747</v>
          </cell>
          <cell r="Y270">
            <v>81.264029988528776</v>
          </cell>
          <cell r="Z270">
            <v>82.176818850933742</v>
          </cell>
          <cell r="AA270">
            <v>88.887050488073015</v>
          </cell>
          <cell r="AB270">
            <v>94.136271723825345</v>
          </cell>
          <cell r="AC270">
            <v>96.285300156634662</v>
          </cell>
          <cell r="AD270">
            <v>97.993010250563486</v>
          </cell>
          <cell r="AE270">
            <v>98.700216035850218</v>
          </cell>
          <cell r="AF270">
            <v>90.241157689358474</v>
          </cell>
        </row>
        <row r="271">
          <cell r="D271">
            <v>8580</v>
          </cell>
          <cell r="E271"/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D272">
            <v>8590</v>
          </cell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D273">
            <v>8600</v>
          </cell>
          <cell r="E273"/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D274">
            <v>8620</v>
          </cell>
          <cell r="E274"/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D275">
            <v>8630</v>
          </cell>
          <cell r="E275"/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D276">
            <v>8640</v>
          </cell>
          <cell r="E276"/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D277">
            <v>8650</v>
          </cell>
          <cell r="E277"/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15.5</v>
          </cell>
          <cell r="L277">
            <v>3.7732903974057486</v>
          </cell>
          <cell r="M277">
            <v>2.2271475890565529</v>
          </cell>
          <cell r="N277">
            <v>5.8506048296608864</v>
          </cell>
          <cell r="O277">
            <v>3.1597896998298647</v>
          </cell>
          <cell r="P277">
            <v>6.0495593765710938</v>
          </cell>
          <cell r="Q277">
            <v>3.5106920959932033</v>
          </cell>
          <cell r="R277">
            <v>3.3873202740588084</v>
          </cell>
          <cell r="S277">
            <v>4.9105815934016546</v>
          </cell>
          <cell r="T277">
            <v>7.2958513431803098</v>
          </cell>
          <cell r="U277">
            <v>2.0473950400979639</v>
          </cell>
          <cell r="V277">
            <v>3.9217211403648395</v>
          </cell>
          <cell r="W277">
            <v>5.0894631695529045</v>
          </cell>
          <cell r="X277">
            <v>3.9779431731910857</v>
          </cell>
          <cell r="Y277">
            <v>2.2271475890565529</v>
          </cell>
          <cell r="Z277">
            <v>5.8506048296608864</v>
          </cell>
          <cell r="AA277">
            <v>3.1597896998298647</v>
          </cell>
          <cell r="AB277">
            <v>6.0495593765710938</v>
          </cell>
          <cell r="AC277">
            <v>3.5106920959932033</v>
          </cell>
          <cell r="AD277">
            <v>3.3873202740588084</v>
          </cell>
          <cell r="AE277">
            <v>4.9105815934016546</v>
          </cell>
          <cell r="AF277">
            <v>7.2958513431803098</v>
          </cell>
        </row>
        <row r="278">
          <cell r="D278">
            <v>8670</v>
          </cell>
          <cell r="E278"/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D279">
            <v>8700</v>
          </cell>
          <cell r="E279"/>
          <cell r="F279">
            <v>275325.52</v>
          </cell>
          <cell r="G279">
            <v>270421.32000000007</v>
          </cell>
          <cell r="H279">
            <v>291024.96000000008</v>
          </cell>
          <cell r="I279">
            <v>253628.39999999988</v>
          </cell>
          <cell r="J279">
            <v>320512.67999999993</v>
          </cell>
          <cell r="K279">
            <v>247097.18999999992</v>
          </cell>
          <cell r="L279">
            <v>406080.52724166895</v>
          </cell>
          <cell r="M279">
            <v>346617.30142905965</v>
          </cell>
          <cell r="N279">
            <v>405652.82422056032</v>
          </cell>
          <cell r="O279">
            <v>378850.93050992128</v>
          </cell>
          <cell r="P279">
            <v>401050.26015284751</v>
          </cell>
          <cell r="Q279">
            <v>405791.55289602425</v>
          </cell>
          <cell r="R279">
            <v>388826.93330663396</v>
          </cell>
          <cell r="S279">
            <v>372666.35385559947</v>
          </cell>
          <cell r="T279">
            <v>417266.91682253743</v>
          </cell>
          <cell r="U279">
            <v>390818.04890339996</v>
          </cell>
          <cell r="V279">
            <v>355405.60569671937</v>
          </cell>
          <cell r="W279">
            <v>397637.26608418446</v>
          </cell>
          <cell r="X279">
            <v>406093.24358531245</v>
          </cell>
          <cell r="Y279">
            <v>352450.91531155852</v>
          </cell>
          <cell r="Z279">
            <v>411222.22902339842</v>
          </cell>
          <cell r="AA279">
            <v>384948.7545350311</v>
          </cell>
          <cell r="AB279">
            <v>406619.66495568561</v>
          </cell>
          <cell r="AC279">
            <v>411360.95769886236</v>
          </cell>
          <cell r="AD279">
            <v>394924.75733174384</v>
          </cell>
          <cell r="AE279">
            <v>378235.75865843758</v>
          </cell>
          <cell r="AF279">
            <v>423100.5307050363</v>
          </cell>
        </row>
        <row r="280">
          <cell r="D280">
            <v>8710</v>
          </cell>
          <cell r="E280"/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D281">
            <v>8711</v>
          </cell>
          <cell r="E281"/>
          <cell r="F281">
            <v>7997.85</v>
          </cell>
          <cell r="G281">
            <v>16844.57</v>
          </cell>
          <cell r="H281">
            <v>0</v>
          </cell>
          <cell r="I281">
            <v>156.66999999999999</v>
          </cell>
          <cell r="J281">
            <v>0</v>
          </cell>
          <cell r="K281">
            <v>4309.78</v>
          </cell>
          <cell r="L281">
            <v>7134.895337407318</v>
          </cell>
          <cell r="M281">
            <v>4211.3018811917382</v>
          </cell>
          <cell r="N281">
            <v>11062.878475735681</v>
          </cell>
          <cell r="O281">
            <v>5974.830034816292</v>
          </cell>
          <cell r="P281">
            <v>11439.080601626016</v>
          </cell>
          <cell r="Q281">
            <v>6638.3495646124074</v>
          </cell>
          <cell r="R281">
            <v>6405.0664232744512</v>
          </cell>
          <cell r="S281">
            <v>9285.3933900259326</v>
          </cell>
          <cell r="T281">
            <v>13795.687648812716</v>
          </cell>
          <cell r="U281">
            <v>3871.4087141210334</v>
          </cell>
          <cell r="V281">
            <v>7415.5622631745055</v>
          </cell>
          <cell r="W281">
            <v>9623.6396391105845</v>
          </cell>
          <cell r="X281">
            <v>7521.8722148674206</v>
          </cell>
          <cell r="Y281">
            <v>4211.3018811917382</v>
          </cell>
          <cell r="Z281">
            <v>11062.878475735681</v>
          </cell>
          <cell r="AA281">
            <v>5974.830034816292</v>
          </cell>
          <cell r="AB281">
            <v>11439.080601626016</v>
          </cell>
          <cell r="AC281">
            <v>6638.3495646124074</v>
          </cell>
          <cell r="AD281">
            <v>6405.0664232744512</v>
          </cell>
          <cell r="AE281">
            <v>9285.3933900259326</v>
          </cell>
          <cell r="AF281">
            <v>13795.687648812716</v>
          </cell>
        </row>
        <row r="282">
          <cell r="D282">
            <v>8720</v>
          </cell>
          <cell r="E282"/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D283">
            <v>8740</v>
          </cell>
          <cell r="E283"/>
          <cell r="F283">
            <v>1055.1800000000037</v>
          </cell>
          <cell r="G283">
            <v>1729.5799999999995</v>
          </cell>
          <cell r="H283">
            <v>-1155.7900000000022</v>
          </cell>
          <cell r="I283">
            <v>-919.01000000000249</v>
          </cell>
          <cell r="J283">
            <v>2940.5500000000006</v>
          </cell>
          <cell r="K283">
            <v>466.83999999999918</v>
          </cell>
          <cell r="L283">
            <v>622.16978309193507</v>
          </cell>
          <cell r="M283">
            <v>186.08280391789407</v>
          </cell>
          <cell r="N283">
            <v>506.69603624273037</v>
          </cell>
          <cell r="O283">
            <v>141.3501852521016</v>
          </cell>
          <cell r="P283">
            <v>1758.2683722417257</v>
          </cell>
          <cell r="Q283">
            <v>452.12725049548129</v>
          </cell>
          <cell r="R283">
            <v>632.05656211767894</v>
          </cell>
          <cell r="S283">
            <v>682.65789154267691</v>
          </cell>
          <cell r="T283">
            <v>1552.1761898843904</v>
          </cell>
          <cell r="U283">
            <v>136.36803927530002</v>
          </cell>
          <cell r="V283">
            <v>758.68639394040508</v>
          </cell>
          <cell r="W283">
            <v>342.63376193860785</v>
          </cell>
          <cell r="X283">
            <v>623.34431273414532</v>
          </cell>
          <cell r="Y283">
            <v>186.08280391789407</v>
          </cell>
          <cell r="Z283">
            <v>506.69603624273037</v>
          </cell>
          <cell r="AA283">
            <v>141.3501852521016</v>
          </cell>
          <cell r="AB283">
            <v>1758.2683722417257</v>
          </cell>
          <cell r="AC283">
            <v>452.12725049548129</v>
          </cell>
          <cell r="AD283">
            <v>632.05656211767894</v>
          </cell>
          <cell r="AE283">
            <v>682.65789154267691</v>
          </cell>
          <cell r="AF283">
            <v>1552.1761898843904</v>
          </cell>
        </row>
        <row r="284">
          <cell r="D284">
            <v>8750</v>
          </cell>
          <cell r="E284"/>
          <cell r="F284">
            <v>7034.62</v>
          </cell>
          <cell r="G284">
            <v>10864.18</v>
          </cell>
          <cell r="H284">
            <v>7836.47</v>
          </cell>
          <cell r="I284">
            <v>9660.130000000001</v>
          </cell>
          <cell r="J284">
            <v>9201.52</v>
          </cell>
          <cell r="K284">
            <v>15677.46</v>
          </cell>
          <cell r="L284">
            <v>11519.457437557836</v>
          </cell>
          <cell r="M284">
            <v>10343.893971034831</v>
          </cell>
          <cell r="N284">
            <v>12955.74727096441</v>
          </cell>
          <cell r="O284">
            <v>10927.545929181664</v>
          </cell>
          <cell r="P284">
            <v>13162.272750333235</v>
          </cell>
          <cell r="Q284">
            <v>10985.741271633295</v>
          </cell>
          <cell r="R284">
            <v>10950.728106863471</v>
          </cell>
          <cell r="S284">
            <v>12552.919595280788</v>
          </cell>
          <cell r="T284">
            <v>14305.177648547908</v>
          </cell>
          <cell r="U284">
            <v>10246.838448876106</v>
          </cell>
          <cell r="V284">
            <v>11683.958046423148</v>
          </cell>
          <cell r="W284">
            <v>12790.84929448812</v>
          </cell>
          <cell r="X284">
            <v>11735.318869082688</v>
          </cell>
          <cell r="Y284">
            <v>10343.893971034831</v>
          </cell>
          <cell r="Z284">
            <v>12955.74727096441</v>
          </cell>
          <cell r="AA284">
            <v>10927.545929181664</v>
          </cell>
          <cell r="AB284">
            <v>13162.272750333235</v>
          </cell>
          <cell r="AC284">
            <v>10985.741271633295</v>
          </cell>
          <cell r="AD284">
            <v>10950.728106863471</v>
          </cell>
          <cell r="AE284">
            <v>12552.919595280788</v>
          </cell>
          <cell r="AF284">
            <v>14305.177648547908</v>
          </cell>
        </row>
        <row r="285">
          <cell r="D285">
            <v>8760</v>
          </cell>
          <cell r="E285"/>
          <cell r="F285">
            <v>0</v>
          </cell>
          <cell r="G285">
            <v>0</v>
          </cell>
          <cell r="H285">
            <v>0</v>
          </cell>
          <cell r="I285">
            <v>720</v>
          </cell>
          <cell r="J285">
            <v>0</v>
          </cell>
          <cell r="K285">
            <v>0</v>
          </cell>
          <cell r="L285">
            <v>175.27542491175089</v>
          </cell>
          <cell r="M285">
            <v>103.45459768520762</v>
          </cell>
          <cell r="N285">
            <v>271.77003079715081</v>
          </cell>
          <cell r="O285">
            <v>146.77732799209693</v>
          </cell>
          <cell r="P285">
            <v>281.01179039556047</v>
          </cell>
          <cell r="Q285">
            <v>163.07731026549072</v>
          </cell>
          <cell r="R285">
            <v>157.3464901498285</v>
          </cell>
          <cell r="S285">
            <v>228.10443530639941</v>
          </cell>
          <cell r="T285">
            <v>338.90406239289177</v>
          </cell>
          <cell r="U285">
            <v>95.104801862615105</v>
          </cell>
          <cell r="V285">
            <v>182.1702723266248</v>
          </cell>
          <cell r="W285">
            <v>236.41377303729621</v>
          </cell>
          <cell r="X285">
            <v>184.78187643210202</v>
          </cell>
          <cell r="Y285">
            <v>103.45459768520762</v>
          </cell>
          <cell r="Z285">
            <v>271.77003079715081</v>
          </cell>
          <cell r="AA285">
            <v>146.77732799209693</v>
          </cell>
          <cell r="AB285">
            <v>281.01179039556047</v>
          </cell>
          <cell r="AC285">
            <v>163.07731026549072</v>
          </cell>
          <cell r="AD285">
            <v>157.3464901498285</v>
          </cell>
          <cell r="AE285">
            <v>228.10443530639941</v>
          </cell>
          <cell r="AF285">
            <v>338.90406239289177</v>
          </cell>
        </row>
        <row r="286">
          <cell r="D286">
            <v>8770</v>
          </cell>
          <cell r="E286"/>
          <cell r="F286">
            <v>572.4</v>
          </cell>
          <cell r="G286">
            <v>15.5</v>
          </cell>
          <cell r="H286">
            <v>15</v>
          </cell>
          <cell r="I286">
            <v>3590.5</v>
          </cell>
          <cell r="J286">
            <v>0</v>
          </cell>
          <cell r="K286">
            <v>0</v>
          </cell>
          <cell r="L286">
            <v>931.83404808620855</v>
          </cell>
          <cell r="M286">
            <v>803.21184313128913</v>
          </cell>
          <cell r="N286">
            <v>911.71110018709828</v>
          </cell>
          <cell r="O286">
            <v>868.76372149375891</v>
          </cell>
          <cell r="P286">
            <v>971.89744986463938</v>
          </cell>
          <cell r="Q286">
            <v>893.951716412049</v>
          </cell>
          <cell r="R286">
            <v>897.90926350558175</v>
          </cell>
          <cell r="S286">
            <v>910.09144887492755</v>
          </cell>
          <cell r="T286">
            <v>997.07935517975056</v>
          </cell>
          <cell r="U286">
            <v>803.20030454865616</v>
          </cell>
          <cell r="V286">
            <v>877.62092024947174</v>
          </cell>
          <cell r="W286">
            <v>916.19925933084994</v>
          </cell>
          <cell r="X286">
            <v>1355.5118029589198</v>
          </cell>
          <cell r="Y286">
            <v>803.21184313128913</v>
          </cell>
          <cell r="Z286">
            <v>911.71110018709828</v>
          </cell>
          <cell r="AA286">
            <v>868.76372149375891</v>
          </cell>
          <cell r="AB286">
            <v>971.89744986463938</v>
          </cell>
          <cell r="AC286">
            <v>893.951716412049</v>
          </cell>
          <cell r="AD286">
            <v>897.90926350558175</v>
          </cell>
          <cell r="AE286">
            <v>910.09144887492755</v>
          </cell>
          <cell r="AF286">
            <v>997.07935517975056</v>
          </cell>
        </row>
        <row r="287">
          <cell r="D287">
            <v>8780</v>
          </cell>
          <cell r="E287"/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D288">
            <v>8790</v>
          </cell>
          <cell r="E288"/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D289">
            <v>8800</v>
          </cell>
          <cell r="E289"/>
          <cell r="F289">
            <v>0</v>
          </cell>
          <cell r="G289">
            <v>0</v>
          </cell>
          <cell r="H289">
            <v>503.71</v>
          </cell>
          <cell r="I289">
            <v>0</v>
          </cell>
          <cell r="J289">
            <v>0</v>
          </cell>
          <cell r="K289">
            <v>0</v>
          </cell>
          <cell r="L289">
            <v>119.98222151656657</v>
          </cell>
          <cell r="M289">
            <v>105.86530967153556</v>
          </cell>
          <cell r="N289">
            <v>171.68814656514871</v>
          </cell>
          <cell r="O289">
            <v>95.416527945257712</v>
          </cell>
          <cell r="P289">
            <v>118.00720025284338</v>
          </cell>
          <cell r="Q289">
            <v>87.317310778426901</v>
          </cell>
          <cell r="R289">
            <v>99.525151724225324</v>
          </cell>
          <cell r="S289">
            <v>107.95562259722823</v>
          </cell>
          <cell r="T289">
            <v>103.40646098499563</v>
          </cell>
          <cell r="U289">
            <v>103.58240224538814</v>
          </cell>
          <cell r="V289">
            <v>102.65569581762655</v>
          </cell>
          <cell r="W289">
            <v>89.128052467106215</v>
          </cell>
          <cell r="X289">
            <v>126.39146611495735</v>
          </cell>
          <cell r="Y289">
            <v>105.86530967153556</v>
          </cell>
          <cell r="Z289">
            <v>171.68814656514871</v>
          </cell>
          <cell r="AA289">
            <v>95.416527945257712</v>
          </cell>
          <cell r="AB289">
            <v>118.00720025284338</v>
          </cell>
          <cell r="AC289">
            <v>87.317310778426901</v>
          </cell>
          <cell r="AD289">
            <v>99.525151724225324</v>
          </cell>
          <cell r="AE289">
            <v>107.95562259722823</v>
          </cell>
          <cell r="AF289">
            <v>103.40646098499563</v>
          </cell>
        </row>
        <row r="290">
          <cell r="D290">
            <v>8810</v>
          </cell>
          <cell r="E290"/>
          <cell r="F290">
            <v>25712.249999999989</v>
          </cell>
          <cell r="G290">
            <v>27867.590000000022</v>
          </cell>
          <cell r="H290">
            <v>22685.139999999996</v>
          </cell>
          <cell r="I290">
            <v>24792.539999999986</v>
          </cell>
          <cell r="J290">
            <v>23789.679999999986</v>
          </cell>
          <cell r="K290">
            <v>25854.180000000026</v>
          </cell>
          <cell r="L290">
            <v>24230.405967051531</v>
          </cell>
          <cell r="M290">
            <v>25256.452934959845</v>
          </cell>
          <cell r="N290">
            <v>25540.143135238384</v>
          </cell>
          <cell r="O290">
            <v>27625.649472421137</v>
          </cell>
          <cell r="P290">
            <v>29257.081104653567</v>
          </cell>
          <cell r="Q290">
            <v>29924.988362966993</v>
          </cell>
          <cell r="R290">
            <v>30455.736095019638</v>
          </cell>
          <cell r="S290">
            <v>30675.532106046252</v>
          </cell>
          <cell r="T290">
            <v>28046.499198960468</v>
          </cell>
          <cell r="U290">
            <v>26974.780664574886</v>
          </cell>
          <cell r="V290">
            <v>26595.675141680134</v>
          </cell>
          <cell r="W290">
            <v>26886.180722145546</v>
          </cell>
          <cell r="X290">
            <v>26118.564451698192</v>
          </cell>
          <cell r="Y290">
            <v>25256.452934959845</v>
          </cell>
          <cell r="Z290">
            <v>25540.143135238384</v>
          </cell>
          <cell r="AA290">
            <v>27625.649472421137</v>
          </cell>
          <cell r="AB290">
            <v>29257.081104653567</v>
          </cell>
          <cell r="AC290">
            <v>29924.988362966993</v>
          </cell>
          <cell r="AD290">
            <v>30455.736095019638</v>
          </cell>
          <cell r="AE290">
            <v>30675.532106046252</v>
          </cell>
          <cell r="AF290">
            <v>28046.499198960468</v>
          </cell>
        </row>
        <row r="291">
          <cell r="D291">
            <v>8850</v>
          </cell>
          <cell r="E291"/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D292">
            <v>8860</v>
          </cell>
          <cell r="E292"/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D293">
            <v>8870</v>
          </cell>
          <cell r="E293"/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D294">
            <v>8890</v>
          </cell>
          <cell r="E294"/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D295">
            <v>8900</v>
          </cell>
          <cell r="E295"/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D296">
            <v>8910</v>
          </cell>
          <cell r="E296"/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D297">
            <v>8920</v>
          </cell>
          <cell r="E297"/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  <row r="298">
          <cell r="D298">
            <v>8930</v>
          </cell>
          <cell r="E298"/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</row>
        <row r="299">
          <cell r="D299">
            <v>8940</v>
          </cell>
          <cell r="E299"/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</row>
        <row r="300">
          <cell r="D300">
            <v>8950</v>
          </cell>
          <cell r="E300"/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</row>
        <row r="301">
          <cell r="D301">
            <v>9010</v>
          </cell>
          <cell r="E301"/>
          <cell r="F301">
            <v>0</v>
          </cell>
          <cell r="G301">
            <v>0</v>
          </cell>
          <cell r="H301">
            <v>5000</v>
          </cell>
          <cell r="I301">
            <v>0</v>
          </cell>
          <cell r="J301">
            <v>0</v>
          </cell>
          <cell r="K301">
            <v>0</v>
          </cell>
          <cell r="L301">
            <v>1454.2343243365067</v>
          </cell>
          <cell r="M301">
            <v>693.73047083823781</v>
          </cell>
          <cell r="N301">
            <v>1508.435452625813</v>
          </cell>
          <cell r="O301">
            <v>657.67943269280556</v>
          </cell>
          <cell r="P301">
            <v>2238.760859782531</v>
          </cell>
          <cell r="Q301">
            <v>3439.51083849305</v>
          </cell>
          <cell r="R301">
            <v>624.87522646403932</v>
          </cell>
          <cell r="S301">
            <v>903.21366041065414</v>
          </cell>
          <cell r="T301">
            <v>2641.902851743328</v>
          </cell>
          <cell r="U301">
            <v>1394.1081679045922</v>
          </cell>
          <cell r="V301">
            <v>669.89943920930909</v>
          </cell>
          <cell r="W301">
            <v>2300.851832821827</v>
          </cell>
          <cell r="X301">
            <v>695.73384983263315</v>
          </cell>
          <cell r="Y301">
            <v>693.73047083823781</v>
          </cell>
          <cell r="Z301">
            <v>1508.435452625813</v>
          </cell>
          <cell r="AA301">
            <v>657.67943269280556</v>
          </cell>
          <cell r="AB301">
            <v>2238.760859782531</v>
          </cell>
          <cell r="AC301">
            <v>3439.51083849305</v>
          </cell>
          <cell r="AD301">
            <v>624.87522646403932</v>
          </cell>
          <cell r="AE301">
            <v>903.21366041065414</v>
          </cell>
          <cell r="AF301">
            <v>2641.902851743328</v>
          </cell>
        </row>
        <row r="302">
          <cell r="D302">
            <v>9020</v>
          </cell>
          <cell r="E302"/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</row>
        <row r="303">
          <cell r="D303">
            <v>9030</v>
          </cell>
          <cell r="E303"/>
          <cell r="F303">
            <v>261150.09999999998</v>
          </cell>
          <cell r="G303">
            <v>262590.69</v>
          </cell>
          <cell r="H303">
            <v>235445.97999999998</v>
          </cell>
          <cell r="I303">
            <v>239238.05</v>
          </cell>
          <cell r="J303">
            <v>222692.06</v>
          </cell>
          <cell r="K303">
            <v>220918.12</v>
          </cell>
          <cell r="L303">
            <v>314343.05825612717</v>
          </cell>
          <cell r="M303">
            <v>288462.75780198793</v>
          </cell>
          <cell r="N303">
            <v>274148.50667064369</v>
          </cell>
          <cell r="O303">
            <v>299979.43386213487</v>
          </cell>
          <cell r="P303">
            <v>293961.31332805741</v>
          </cell>
          <cell r="Q303">
            <v>302813.92033512215</v>
          </cell>
          <cell r="R303">
            <v>307615.65518770291</v>
          </cell>
          <cell r="S303">
            <v>287709.10819122265</v>
          </cell>
          <cell r="T303">
            <v>285264.80962162971</v>
          </cell>
          <cell r="U303">
            <v>291191.88127310091</v>
          </cell>
          <cell r="V303">
            <v>290351.32145474787</v>
          </cell>
          <cell r="W303">
            <v>288684.71529841115</v>
          </cell>
          <cell r="X303">
            <v>472792.72380139411</v>
          </cell>
          <cell r="Y303">
            <v>288923.08688988496</v>
          </cell>
          <cell r="Z303">
            <v>274587.98708272772</v>
          </cell>
          <cell r="AA303">
            <v>300460.61170972197</v>
          </cell>
          <cell r="AB303">
            <v>294400.79374014144</v>
          </cell>
          <cell r="AC303">
            <v>303253.40074720618</v>
          </cell>
          <cell r="AD303">
            <v>308096.83303529007</v>
          </cell>
          <cell r="AE303">
            <v>288148.58860330662</v>
          </cell>
          <cell r="AF303">
            <v>285725.13870952674</v>
          </cell>
        </row>
        <row r="304">
          <cell r="D304">
            <v>9040</v>
          </cell>
          <cell r="E304"/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</row>
        <row r="305">
          <cell r="D305">
            <v>9070</v>
          </cell>
          <cell r="E305"/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D306">
            <v>9080</v>
          </cell>
          <cell r="E306"/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D307">
            <v>9090</v>
          </cell>
          <cell r="E307"/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D308">
            <v>9100</v>
          </cell>
          <cell r="E308"/>
          <cell r="F308">
            <v>80.69</v>
          </cell>
          <cell r="G308">
            <v>6.83</v>
          </cell>
          <cell r="H308">
            <v>0</v>
          </cell>
          <cell r="I308">
            <v>0</v>
          </cell>
          <cell r="J308">
            <v>61.29</v>
          </cell>
          <cell r="K308">
            <v>72.63</v>
          </cell>
          <cell r="L308">
            <v>64.405129756215203</v>
          </cell>
          <cell r="M308">
            <v>30.723935092483874</v>
          </cell>
          <cell r="N308">
            <v>66.805589325892001</v>
          </cell>
          <cell r="O308">
            <v>29.127306715098971</v>
          </cell>
          <cell r="P308">
            <v>99.150240958048727</v>
          </cell>
          <cell r="Q308">
            <v>152.32905601518019</v>
          </cell>
          <cell r="R308">
            <v>27.67447402963937</v>
          </cell>
          <cell r="S308">
            <v>40.001526592267048</v>
          </cell>
          <cell r="T308">
            <v>117.0045934980085</v>
          </cell>
          <cell r="U308">
            <v>61.742262540158578</v>
          </cell>
          <cell r="V308">
            <v>29.668506363701876</v>
          </cell>
          <cell r="W308">
            <v>101.90012597201306</v>
          </cell>
          <cell r="X308">
            <v>30.812660741387656</v>
          </cell>
          <cell r="Y308">
            <v>30.723935092483874</v>
          </cell>
          <cell r="Z308">
            <v>66.805589325892001</v>
          </cell>
          <cell r="AA308">
            <v>29.127306715098971</v>
          </cell>
          <cell r="AB308">
            <v>99.150240958048727</v>
          </cell>
          <cell r="AC308">
            <v>152.32905601518019</v>
          </cell>
          <cell r="AD308">
            <v>27.67447402963937</v>
          </cell>
          <cell r="AE308">
            <v>40.001526592267048</v>
          </cell>
          <cell r="AF308">
            <v>117.0045934980085</v>
          </cell>
        </row>
        <row r="309">
          <cell r="D309">
            <v>9110</v>
          </cell>
          <cell r="E309"/>
          <cell r="F309">
            <v>8143.9500000000007</v>
          </cell>
          <cell r="G309">
            <v>11938.72</v>
          </cell>
          <cell r="H309">
            <v>8546.0500000000011</v>
          </cell>
          <cell r="I309">
            <v>15806.23</v>
          </cell>
          <cell r="J309">
            <v>9151.119999999999</v>
          </cell>
          <cell r="K309">
            <v>9859.86</v>
          </cell>
          <cell r="L309">
            <v>13670.830328662136</v>
          </cell>
          <cell r="M309">
            <v>13022.559284605268</v>
          </cell>
          <cell r="N309">
            <v>14699.802734631512</v>
          </cell>
          <cell r="O309">
            <v>13127.955055746314</v>
          </cell>
          <cell r="P309">
            <v>12988.494378943051</v>
          </cell>
          <cell r="Q309">
            <v>11999.957307701816</v>
          </cell>
          <cell r="R309">
            <v>13277.806787088781</v>
          </cell>
          <cell r="S309">
            <v>12662.21095562116</v>
          </cell>
          <cell r="T309">
            <v>12963.792909237947</v>
          </cell>
          <cell r="U309">
            <v>12955.137929415927</v>
          </cell>
          <cell r="V309">
            <v>12496.880862451713</v>
          </cell>
          <cell r="W309">
            <v>12930.253529591417</v>
          </cell>
          <cell r="X309">
            <v>13702.493634509494</v>
          </cell>
          <cell r="Y309">
            <v>13310.956770510811</v>
          </cell>
          <cell r="Z309">
            <v>14975.138465703369</v>
          </cell>
          <cell r="AA309">
            <v>13429.414349034809</v>
          </cell>
          <cell r="AB309">
            <v>13263.830110014907</v>
          </cell>
          <cell r="AC309">
            <v>12275.293038773672</v>
          </cell>
          <cell r="AD309">
            <v>13579.266080377276</v>
          </cell>
          <cell r="AE309">
            <v>12937.546686693016</v>
          </cell>
          <cell r="AF309">
            <v>13252.190395143491</v>
          </cell>
        </row>
        <row r="310">
          <cell r="D310">
            <v>9120</v>
          </cell>
          <cell r="E310"/>
          <cell r="F310">
            <v>138.62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40.31719240790531</v>
          </cell>
          <cell r="M310">
            <v>19.232983573519306</v>
          </cell>
          <cell r="N310">
            <v>41.819864488598043</v>
          </cell>
          <cell r="O310">
            <v>18.23350459197534</v>
          </cell>
          <cell r="P310">
            <v>62.067406076610887</v>
          </cell>
          <cell r="Q310">
            <v>95.356998486381315</v>
          </cell>
          <cell r="R310">
            <v>17.324040778489024</v>
          </cell>
          <cell r="S310">
            <v>25.040695521224976</v>
          </cell>
          <cell r="T310">
            <v>73.244114661732027</v>
          </cell>
          <cell r="U310">
            <v>38.650254846986918</v>
          </cell>
          <cell r="V310">
            <v>18.572292052638883</v>
          </cell>
          <cell r="W310">
            <v>63.788816213152323</v>
          </cell>
          <cell r="X310">
            <v>19.288525252759921</v>
          </cell>
          <cell r="Y310">
            <v>19.232983573519306</v>
          </cell>
          <cell r="Z310">
            <v>41.819864488598043</v>
          </cell>
          <cell r="AA310">
            <v>18.23350459197534</v>
          </cell>
          <cell r="AB310">
            <v>62.067406076610887</v>
          </cell>
          <cell r="AC310">
            <v>95.356998486381315</v>
          </cell>
          <cell r="AD310">
            <v>17.324040778489024</v>
          </cell>
          <cell r="AE310">
            <v>25.040695521224976</v>
          </cell>
          <cell r="AF310">
            <v>73.244114661732027</v>
          </cell>
        </row>
        <row r="311">
          <cell r="D311">
            <v>9130</v>
          </cell>
          <cell r="E311"/>
          <cell r="F311">
            <v>0</v>
          </cell>
          <cell r="G311">
            <v>0</v>
          </cell>
          <cell r="H311">
            <v>2321.0499999999997</v>
          </cell>
          <cell r="I311">
            <v>149.52000000000001</v>
          </cell>
          <cell r="J311">
            <v>0</v>
          </cell>
          <cell r="K311">
            <v>0</v>
          </cell>
          <cell r="L311">
            <v>718.55753893520853</v>
          </cell>
          <cell r="M311">
            <v>342.78193786776501</v>
          </cell>
          <cell r="N311">
            <v>745.33907523875087</v>
          </cell>
          <cell r="O311">
            <v>324.96861520557286</v>
          </cell>
          <cell r="P311">
            <v>1106.2030834705852</v>
          </cell>
          <cell r="Q311">
            <v>1699.5104584511546</v>
          </cell>
          <cell r="R311">
            <v>308.7595976490523</v>
          </cell>
          <cell r="S311">
            <v>446.29051460014995</v>
          </cell>
          <cell r="T311">
            <v>1305.4011856863026</v>
          </cell>
          <cell r="U311">
            <v>688.84836327600965</v>
          </cell>
          <cell r="V311">
            <v>331.0066915054685</v>
          </cell>
          <cell r="W311">
            <v>1136.883102522924</v>
          </cell>
          <cell r="X311">
            <v>343.77183547620166</v>
          </cell>
          <cell r="Y311">
            <v>342.78193786776501</v>
          </cell>
          <cell r="Z311">
            <v>745.33907523875087</v>
          </cell>
          <cell r="AA311">
            <v>324.96861520557286</v>
          </cell>
          <cell r="AB311">
            <v>1106.2030834705852</v>
          </cell>
          <cell r="AC311">
            <v>1699.5104584511546</v>
          </cell>
          <cell r="AD311">
            <v>308.7595976490523</v>
          </cell>
          <cell r="AE311">
            <v>446.29051460014995</v>
          </cell>
          <cell r="AF311">
            <v>1305.4011856863026</v>
          </cell>
        </row>
        <row r="312">
          <cell r="D312">
            <v>9160</v>
          </cell>
          <cell r="E312"/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</row>
        <row r="313">
          <cell r="D313">
            <v>9200</v>
          </cell>
          <cell r="E313"/>
          <cell r="F313">
            <v>-4567.08</v>
          </cell>
          <cell r="G313">
            <v>-4656.62</v>
          </cell>
          <cell r="H313">
            <v>-5150.38</v>
          </cell>
          <cell r="I313">
            <v>-4164.2</v>
          </cell>
          <cell r="J313">
            <v>-4788.71</v>
          </cell>
          <cell r="K313">
            <v>-3965.03</v>
          </cell>
          <cell r="L313">
            <v>-283.95160440359831</v>
          </cell>
          <cell r="M313">
            <v>-4687.5100222886695</v>
          </cell>
          <cell r="N313">
            <v>6168.4446094830464</v>
          </cell>
          <cell r="O313">
            <v>2090.3916893289288</v>
          </cell>
          <cell r="P313">
            <v>-9840.1927948807952</v>
          </cell>
          <cell r="Q313">
            <v>201.99809256353538</v>
          </cell>
          <cell r="R313">
            <v>1319.3361131435481</v>
          </cell>
          <cell r="S313">
            <v>81.95351184006293</v>
          </cell>
          <cell r="T313">
            <v>-1052.6986309596814</v>
          </cell>
          <cell r="U313">
            <v>-2701.0030662781301</v>
          </cell>
          <cell r="V313">
            <v>571.36603325114288</v>
          </cell>
          <cell r="W313">
            <v>1356.2729072123088</v>
          </cell>
          <cell r="X313">
            <v>42.708168142004624</v>
          </cell>
          <cell r="Y313">
            <v>-4687.5100222886695</v>
          </cell>
          <cell r="Z313">
            <v>6168.4446094830464</v>
          </cell>
          <cell r="AA313">
            <v>2090.3916893289288</v>
          </cell>
          <cell r="AB313">
            <v>-9840.1927948807952</v>
          </cell>
          <cell r="AC313">
            <v>201.99809256353538</v>
          </cell>
          <cell r="AD313">
            <v>1319.3361131435481</v>
          </cell>
          <cell r="AE313">
            <v>81.95351184006293</v>
          </cell>
          <cell r="AF313">
            <v>-1052.6986309596814</v>
          </cell>
        </row>
        <row r="314">
          <cell r="D314">
            <v>9210</v>
          </cell>
          <cell r="E314"/>
          <cell r="F314">
            <v>0</v>
          </cell>
          <cell r="G314">
            <v>579.5200000000001</v>
          </cell>
          <cell r="H314">
            <v>358</v>
          </cell>
          <cell r="I314">
            <v>46.04</v>
          </cell>
          <cell r="J314">
            <v>2250</v>
          </cell>
          <cell r="K314">
            <v>0</v>
          </cell>
          <cell r="L314">
            <v>729.83285910272127</v>
          </cell>
          <cell r="M314">
            <v>652.13282996501925</v>
          </cell>
          <cell r="N314">
            <v>749.66413721502727</v>
          </cell>
          <cell r="O314">
            <v>650.33386263195234</v>
          </cell>
          <cell r="P314">
            <v>695.48782963388658</v>
          </cell>
          <cell r="Q314">
            <v>643.74142306234444</v>
          </cell>
          <cell r="R314">
            <v>671.82600988066474</v>
          </cell>
          <cell r="S314">
            <v>656.94360739210288</v>
          </cell>
          <cell r="T314">
            <v>641.62188354917589</v>
          </cell>
          <cell r="U314">
            <v>652.71895510959303</v>
          </cell>
          <cell r="V314">
            <v>653.56304290202218</v>
          </cell>
          <cell r="W314">
            <v>633.35714667020807</v>
          </cell>
          <cell r="X314">
            <v>994.87116696229782</v>
          </cell>
          <cell r="Y314">
            <v>652.13282996501925</v>
          </cell>
          <cell r="Z314">
            <v>749.66413721502727</v>
          </cell>
          <cell r="AA314">
            <v>650.33386263195234</v>
          </cell>
          <cell r="AB314">
            <v>695.48782963388658</v>
          </cell>
          <cell r="AC314">
            <v>643.74142306234444</v>
          </cell>
          <cell r="AD314">
            <v>671.82600988066474</v>
          </cell>
          <cell r="AE314">
            <v>656.94360739210288</v>
          </cell>
          <cell r="AF314">
            <v>641.62188354917589</v>
          </cell>
        </row>
        <row r="315">
          <cell r="D315">
            <v>9220</v>
          </cell>
          <cell r="E315"/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</row>
        <row r="316">
          <cell r="D316">
            <v>9230</v>
          </cell>
          <cell r="E316"/>
          <cell r="F316">
            <v>22567.24</v>
          </cell>
          <cell r="G316">
            <v>12254.419999999998</v>
          </cell>
          <cell r="H316">
            <v>15853.769999999999</v>
          </cell>
          <cell r="I316">
            <v>9835.6299999999992</v>
          </cell>
          <cell r="J316">
            <v>0</v>
          </cell>
          <cell r="K316">
            <v>16709.309999999998</v>
          </cell>
          <cell r="L316">
            <v>16875.986616682592</v>
          </cell>
          <cell r="M316">
            <v>15430.160048711428</v>
          </cell>
          <cell r="N316">
            <v>14651.152353422915</v>
          </cell>
          <cell r="O316">
            <v>16042.360262033562</v>
          </cell>
          <cell r="P316">
            <v>15779.729789946392</v>
          </cell>
          <cell r="Q316">
            <v>16284.024839064059</v>
          </cell>
          <cell r="R316">
            <v>16475.826950086463</v>
          </cell>
          <cell r="S316">
            <v>15426.255726518179</v>
          </cell>
          <cell r="T316">
            <v>15249.638974737793</v>
          </cell>
          <cell r="U316">
            <v>15584.816968463116</v>
          </cell>
          <cell r="V316">
            <v>15577.063622402406</v>
          </cell>
          <cell r="W316">
            <v>15404.029492285908</v>
          </cell>
          <cell r="X316">
            <v>25851.105437446378</v>
          </cell>
          <cell r="Y316">
            <v>15430.160048711428</v>
          </cell>
          <cell r="Z316">
            <v>14651.152353422915</v>
          </cell>
          <cell r="AA316">
            <v>16042.360262033562</v>
          </cell>
          <cell r="AB316">
            <v>15779.729789946392</v>
          </cell>
          <cell r="AC316">
            <v>16284.024839064059</v>
          </cell>
          <cell r="AD316">
            <v>16475.826950086463</v>
          </cell>
          <cell r="AE316">
            <v>15426.255726518179</v>
          </cell>
          <cell r="AF316">
            <v>15249.638974737793</v>
          </cell>
        </row>
        <row r="317">
          <cell r="D317">
            <v>9240</v>
          </cell>
          <cell r="E317"/>
          <cell r="F317">
            <v>-668.09000000000015</v>
          </cell>
          <cell r="G317">
            <v>-827.91000000000008</v>
          </cell>
          <cell r="H317">
            <v>-800.05</v>
          </cell>
          <cell r="I317">
            <v>-873.82999999999993</v>
          </cell>
          <cell r="J317">
            <v>-836.98</v>
          </cell>
          <cell r="K317">
            <v>-886.79</v>
          </cell>
          <cell r="L317">
            <v>-9034.7089966792264</v>
          </cell>
          <cell r="M317">
            <v>-6911.2243741196362</v>
          </cell>
          <cell r="N317">
            <v>-7030.016583731237</v>
          </cell>
          <cell r="O317">
            <v>-6899.7982577722532</v>
          </cell>
          <cell r="P317">
            <v>-6999.0872687909032</v>
          </cell>
          <cell r="Q317">
            <v>-7021.7424994796829</v>
          </cell>
          <cell r="R317">
            <v>-7403.7293890931014</v>
          </cell>
          <cell r="S317">
            <v>-7370.0420460689156</v>
          </cell>
          <cell r="T317">
            <v>-7357.8279216975743</v>
          </cell>
          <cell r="U317">
            <v>-7357.8279216975743</v>
          </cell>
          <cell r="V317">
            <v>-7388.3632326259285</v>
          </cell>
          <cell r="W317">
            <v>-7355.8579016376807</v>
          </cell>
          <cell r="X317">
            <v>-7357.8279216975743</v>
          </cell>
          <cell r="Y317">
            <v>-6911.2243741196362</v>
          </cell>
          <cell r="Z317">
            <v>-7030.016583731237</v>
          </cell>
          <cell r="AA317">
            <v>-6899.7982577722532</v>
          </cell>
          <cell r="AB317">
            <v>-6999.0872687909032</v>
          </cell>
          <cell r="AC317">
            <v>-7021.7424994796829</v>
          </cell>
          <cell r="AD317">
            <v>-7403.7293890931014</v>
          </cell>
          <cell r="AE317">
            <v>-7370.0420460689156</v>
          </cell>
          <cell r="AF317">
            <v>-7357.8279216975743</v>
          </cell>
        </row>
        <row r="318">
          <cell r="D318">
            <v>9250</v>
          </cell>
          <cell r="E318"/>
          <cell r="F318">
            <v>25270.670000000006</v>
          </cell>
          <cell r="G318">
            <v>14117.620000000003</v>
          </cell>
          <cell r="H318">
            <v>24049.98</v>
          </cell>
          <cell r="I318">
            <v>23671.69</v>
          </cell>
          <cell r="J318">
            <v>23973.8</v>
          </cell>
          <cell r="K318">
            <v>72437.689999999988</v>
          </cell>
          <cell r="L318">
            <v>69118.86138759664</v>
          </cell>
          <cell r="M318">
            <v>57886.239977794605</v>
          </cell>
          <cell r="N318">
            <v>56709.994827744944</v>
          </cell>
          <cell r="O318">
            <v>59314.163914020392</v>
          </cell>
          <cell r="P318">
            <v>56639.380554347248</v>
          </cell>
          <cell r="Q318">
            <v>56691.125887914241</v>
          </cell>
          <cell r="R318">
            <v>60480.470262991221</v>
          </cell>
          <cell r="S318">
            <v>57496.629011955345</v>
          </cell>
          <cell r="T318">
            <v>58922.796955628452</v>
          </cell>
          <cell r="U318">
            <v>58920.693322476109</v>
          </cell>
          <cell r="V318">
            <v>57547.749242295475</v>
          </cell>
          <cell r="W318">
            <v>60364.234722746529</v>
          </cell>
          <cell r="X318">
            <v>58915.398410623719</v>
          </cell>
          <cell r="Y318">
            <v>68022.118383068577</v>
          </cell>
          <cell r="Z318">
            <v>65942.828491783832</v>
          </cell>
          <cell r="AA318">
            <v>70353.09059018307</v>
          </cell>
          <cell r="AB318">
            <v>65872.214218386143</v>
          </cell>
          <cell r="AC318">
            <v>65923.959551953129</v>
          </cell>
          <cell r="AD318">
            <v>71519.396939153885</v>
          </cell>
          <cell r="AE318">
            <v>66729.462675994248</v>
          </cell>
          <cell r="AF318">
            <v>69058.675360902416</v>
          </cell>
        </row>
        <row r="319">
          <cell r="D319">
            <v>9260</v>
          </cell>
          <cell r="E319"/>
          <cell r="F319">
            <v>113470.75</v>
          </cell>
          <cell r="G319">
            <v>149784.32000000001</v>
          </cell>
          <cell r="H319">
            <v>293007.15000000002</v>
          </cell>
          <cell r="I319">
            <v>137531.18</v>
          </cell>
          <cell r="J319">
            <v>709528.64</v>
          </cell>
          <cell r="K319">
            <v>81144.22</v>
          </cell>
          <cell r="L319">
            <v>141759.23581915745</v>
          </cell>
          <cell r="M319">
            <v>149339.82045462413</v>
          </cell>
          <cell r="N319">
            <v>167812.05951962198</v>
          </cell>
          <cell r="O319">
            <v>178522.26228787206</v>
          </cell>
          <cell r="P319">
            <v>183552.37270742506</v>
          </cell>
          <cell r="Q319">
            <v>172358.82403770534</v>
          </cell>
          <cell r="R319">
            <v>168759.75864198359</v>
          </cell>
          <cell r="S319">
            <v>156127.39372818384</v>
          </cell>
          <cell r="T319">
            <v>186477.17915434387</v>
          </cell>
          <cell r="U319">
            <v>153607.92336360647</v>
          </cell>
          <cell r="V319">
            <v>291981.47924082557</v>
          </cell>
          <cell r="W319">
            <v>84671.618999420098</v>
          </cell>
          <cell r="X319">
            <v>82942.84796356436</v>
          </cell>
          <cell r="Y319">
            <v>165448.28342849249</v>
          </cell>
          <cell r="Z319">
            <v>182485.35701534463</v>
          </cell>
          <cell r="AA319">
            <v>196065.89634939437</v>
          </cell>
          <cell r="AB319">
            <v>198225.67020314772</v>
          </cell>
          <cell r="AC319">
            <v>187032.121533428</v>
          </cell>
          <cell r="AD319">
            <v>186303.39270350596</v>
          </cell>
          <cell r="AE319">
            <v>170800.6912239065</v>
          </cell>
          <cell r="AF319">
            <v>202585.64212821223</v>
          </cell>
        </row>
        <row r="320">
          <cell r="D320">
            <v>9270</v>
          </cell>
          <cell r="E320"/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D321">
            <v>9280</v>
          </cell>
          <cell r="E321"/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</row>
        <row r="322">
          <cell r="D322">
            <v>9290</v>
          </cell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</row>
        <row r="323">
          <cell r="D323">
            <v>9301</v>
          </cell>
          <cell r="E323"/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</row>
        <row r="324">
          <cell r="D324">
            <v>9302</v>
          </cell>
          <cell r="E324"/>
          <cell r="F324">
            <v>7323.2</v>
          </cell>
          <cell r="G324">
            <v>7243.6</v>
          </cell>
          <cell r="H324">
            <v>15963.6</v>
          </cell>
          <cell r="I324">
            <v>7243.6</v>
          </cell>
          <cell r="J324">
            <v>7243.6</v>
          </cell>
          <cell r="K324">
            <v>7243.6</v>
          </cell>
          <cell r="L324">
            <v>14743.463191357721</v>
          </cell>
          <cell r="M324">
            <v>11737.433062865735</v>
          </cell>
          <cell r="N324">
            <v>12127.970059160927</v>
          </cell>
          <cell r="O324">
            <v>19055.595601028941</v>
          </cell>
          <cell r="P324">
            <v>6224.086290409844</v>
          </cell>
          <cell r="Q324">
            <v>8793.8826905976894</v>
          </cell>
          <cell r="R324">
            <v>6113.4245529495875</v>
          </cell>
          <cell r="S324">
            <v>13628.667740166695</v>
          </cell>
          <cell r="T324">
            <v>11732.629879434166</v>
          </cell>
          <cell r="U324">
            <v>11715.779497880436</v>
          </cell>
          <cell r="V324">
            <v>9485.8724613470367</v>
          </cell>
          <cell r="W324">
            <v>21494.622270839907</v>
          </cell>
          <cell r="X324">
            <v>18198.918330529603</v>
          </cell>
          <cell r="Y324">
            <v>11737.433062865735</v>
          </cell>
          <cell r="Z324">
            <v>12127.970059160927</v>
          </cell>
          <cell r="AA324">
            <v>19055.595601028941</v>
          </cell>
          <cell r="AB324">
            <v>6224.086290409844</v>
          </cell>
          <cell r="AC324">
            <v>8793.8826905976894</v>
          </cell>
          <cell r="AD324">
            <v>6113.4245529495875</v>
          </cell>
          <cell r="AE324">
            <v>13628.667740166695</v>
          </cell>
          <cell r="AF324">
            <v>11732.629879434166</v>
          </cell>
        </row>
        <row r="325">
          <cell r="D325">
            <v>9310</v>
          </cell>
          <cell r="E325"/>
          <cell r="F325">
            <v>12.38</v>
          </cell>
          <cell r="G325">
            <v>5.0599999999999996</v>
          </cell>
          <cell r="H325">
            <v>5.0599999999999996</v>
          </cell>
          <cell r="I325">
            <v>5.44</v>
          </cell>
          <cell r="J325">
            <v>5.44</v>
          </cell>
          <cell r="K325">
            <v>5.0999999999999996</v>
          </cell>
          <cell r="L325">
            <v>6.1869773296843249</v>
          </cell>
          <cell r="M325">
            <v>6.4489675471933596</v>
          </cell>
          <cell r="N325">
            <v>6.5214048328155494</v>
          </cell>
          <cell r="O325">
            <v>7.0539167703624557</v>
          </cell>
          <cell r="P325">
            <v>7.4704855450366079</v>
          </cell>
          <cell r="Q325">
            <v>7.6410285838588194</v>
          </cell>
          <cell r="R325">
            <v>7.7765493914943269</v>
          </cell>
          <cell r="S325">
            <v>7.8326719731475549</v>
          </cell>
          <cell r="T325">
            <v>7.1613762871713487</v>
          </cell>
          <cell r="U325">
            <v>6.8877243192652999</v>
          </cell>
          <cell r="V325">
            <v>6.7909237423827946</v>
          </cell>
          <cell r="W325">
            <v>6.8651012630950063</v>
          </cell>
          <cell r="X325">
            <v>6.6690985849057665</v>
          </cell>
          <cell r="Y325">
            <v>6.4489675471933596</v>
          </cell>
          <cell r="Z325">
            <v>6.5214048328155494</v>
          </cell>
          <cell r="AA325">
            <v>7.0539167703624557</v>
          </cell>
          <cell r="AB325">
            <v>7.4704855450366079</v>
          </cell>
          <cell r="AC325">
            <v>7.6410285838588194</v>
          </cell>
          <cell r="AD325">
            <v>7.7765493914943269</v>
          </cell>
          <cell r="AE325">
            <v>7.8326719731475549</v>
          </cell>
          <cell r="AF325">
            <v>7.1613762871713487</v>
          </cell>
        </row>
        <row r="326">
          <cell r="D326">
            <v>9320</v>
          </cell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H6">
            <v>8505422.4188045748</v>
          </cell>
        </row>
        <row r="10">
          <cell r="H10">
            <v>0</v>
          </cell>
        </row>
        <row r="14">
          <cell r="H14">
            <v>893599.96359118226</v>
          </cell>
        </row>
        <row r="30">
          <cell r="H30">
            <v>3773019.6502132686</v>
          </cell>
        </row>
        <row r="34">
          <cell r="H34">
            <v>5929807.1518043391</v>
          </cell>
        </row>
        <row r="38">
          <cell r="H38">
            <v>112210.07528716989</v>
          </cell>
        </row>
        <row r="42">
          <cell r="H42">
            <v>254926.25492709776</v>
          </cell>
        </row>
        <row r="46">
          <cell r="H46">
            <v>48662.7639237599</v>
          </cell>
        </row>
        <row r="50">
          <cell r="H50">
            <v>103080.81141690264</v>
          </cell>
        </row>
        <row r="54">
          <cell r="H54">
            <v>8311.6916494825837</v>
          </cell>
        </row>
        <row r="58">
          <cell r="H58">
            <v>21457.213052159059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case"/>
      <sheetName val="Div 9 gas cost"/>
    </sheetNames>
    <sheetDataSet>
      <sheetData sheetId="0">
        <row r="7">
          <cell r="O7">
            <v>0</v>
          </cell>
          <cell r="P7">
            <v>0</v>
          </cell>
          <cell r="Q7">
            <v>0</v>
          </cell>
          <cell r="R7">
            <v>139713.86778650412</v>
          </cell>
          <cell r="S7">
            <v>85207.997388707037</v>
          </cell>
          <cell r="T7">
            <v>389932.36753601005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146919.11091232725</v>
          </cell>
          <cell r="AF7">
            <v>89603.973920114935</v>
          </cell>
          <cell r="AG7">
            <v>396305.01818808267</v>
          </cell>
          <cell r="AH7">
            <v>213051.43288701813</v>
          </cell>
          <cell r="AI7">
            <v>463204.80290183751</v>
          </cell>
          <cell r="AJ7">
            <v>0</v>
          </cell>
        </row>
        <row r="8">
          <cell r="O8">
            <v>6574.868896686231</v>
          </cell>
          <cell r="P8">
            <v>3926.8162225257174</v>
          </cell>
          <cell r="Q8">
            <v>5305.4370163802487</v>
          </cell>
          <cell r="R8">
            <v>4775.084674783936</v>
          </cell>
          <cell r="S8">
            <v>4710.5495386244729</v>
          </cell>
          <cell r="T8">
            <v>3297.347187186982</v>
          </cell>
          <cell r="Y8">
            <v>6175.7763157554582</v>
          </cell>
          <cell r="Z8">
            <v>5936.6494756029051</v>
          </cell>
          <cell r="AA8">
            <v>5505.2318739390184</v>
          </cell>
          <cell r="AB8">
            <v>7191.3206783476144</v>
          </cell>
          <cell r="AC8">
            <v>4298.1121478770519</v>
          </cell>
          <cell r="AD8">
            <v>5578.8915878009211</v>
          </cell>
          <cell r="AE8">
            <v>5021.3425915770304</v>
          </cell>
          <cell r="AF8">
            <v>4953.572093507003</v>
          </cell>
          <cell r="AG8">
            <v>3351.2356136218468</v>
          </cell>
          <cell r="AH8">
            <v>9363.5670674092598</v>
          </cell>
          <cell r="AI8">
            <v>13724.989620946659</v>
          </cell>
          <cell r="AJ8">
            <v>10889.1653924206</v>
          </cell>
        </row>
        <row r="9">
          <cell r="O9">
            <v>3843168.3650242626</v>
          </cell>
          <cell r="P9">
            <v>3805125.9183895686</v>
          </cell>
          <cell r="Q9">
            <v>4894527.117914536</v>
          </cell>
          <cell r="R9">
            <v>4533023.0958209466</v>
          </cell>
          <cell r="S9">
            <v>3647077.8894252698</v>
          </cell>
          <cell r="T9">
            <v>2292789.2263635383</v>
          </cell>
          <cell r="Y9">
            <v>4473767.4124967093</v>
          </cell>
          <cell r="Z9">
            <v>4984370.1328893434</v>
          </cell>
          <cell r="AA9">
            <v>4042075.8170955428</v>
          </cell>
          <cell r="AB9">
            <v>4203499.19793835</v>
          </cell>
          <cell r="AC9">
            <v>4164915.5466492972</v>
          </cell>
          <cell r="AD9">
            <v>5146802.4368380951</v>
          </cell>
          <cell r="AE9">
            <v>4766797.5522712627</v>
          </cell>
          <cell r="AF9">
            <v>3835234.7444325797</v>
          </cell>
          <cell r="AG9">
            <v>2330260.1981907268</v>
          </cell>
          <cell r="AH9">
            <v>3864089.5099203326</v>
          </cell>
          <cell r="AI9">
            <v>2470964.1835634005</v>
          </cell>
          <cell r="AJ9">
            <v>10347908.833334723</v>
          </cell>
        </row>
        <row r="10">
          <cell r="O10">
            <v>-206.74098814949014</v>
          </cell>
          <cell r="P10">
            <v>-14.222396678388668</v>
          </cell>
          <cell r="Q10">
            <v>-20.610106604216238</v>
          </cell>
          <cell r="R10">
            <v>0</v>
          </cell>
          <cell r="S10">
            <v>0</v>
          </cell>
          <cell r="T10">
            <v>-221.20715642082789</v>
          </cell>
          <cell r="Y10">
            <v>-938.81157300945495</v>
          </cell>
          <cell r="Z10">
            <v>-2611.4601455664251</v>
          </cell>
          <cell r="AA10">
            <v>-1609.1119269959356</v>
          </cell>
          <cell r="AB10">
            <v>-226.12477396937496</v>
          </cell>
          <cell r="AC10">
            <v>-15.567180247612981</v>
          </cell>
          <cell r="AD10">
            <v>-21.672399465480957</v>
          </cell>
          <cell r="AE10">
            <v>0</v>
          </cell>
          <cell r="AF10">
            <v>0</v>
          </cell>
          <cell r="AG10">
            <v>-224.82233701872514</v>
          </cell>
          <cell r="AH10">
            <v>23720.533307298792</v>
          </cell>
          <cell r="AI10">
            <v>-17.443541308645315</v>
          </cell>
          <cell r="AJ10">
            <v>-1417.4060072164689</v>
          </cell>
        </row>
        <row r="11">
          <cell r="O11">
            <v>666727.55310394708</v>
          </cell>
          <cell r="P11">
            <v>864160.974106682</v>
          </cell>
          <cell r="Q11">
            <v>2875147.9039577646</v>
          </cell>
          <cell r="R11">
            <v>6250587.2049782341</v>
          </cell>
          <cell r="S11">
            <v>7694660.3654929958</v>
          </cell>
          <cell r="T11">
            <v>8049972.4740340738</v>
          </cell>
          <cell r="Y11">
            <v>1077682.4352895038</v>
          </cell>
          <cell r="Z11">
            <v>855624.99680327752</v>
          </cell>
          <cell r="AA11">
            <v>725665.86855211493</v>
          </cell>
          <cell r="AB11">
            <v>729239.12473403872</v>
          </cell>
          <cell r="AC11">
            <v>945870.79456960026</v>
          </cell>
          <cell r="AD11">
            <v>3023339.7183964993</v>
          </cell>
          <cell r="AE11">
            <v>6572938.8884907691</v>
          </cell>
          <cell r="AF11">
            <v>8091636.5581096858</v>
          </cell>
          <cell r="AG11">
            <v>8181532.8845226504</v>
          </cell>
          <cell r="AH11">
            <v>9502782.1550766472</v>
          </cell>
          <cell r="AI11">
            <v>7190471.1113609802</v>
          </cell>
          <cell r="AJ11">
            <v>3129853.9243696271</v>
          </cell>
        </row>
        <row r="12">
          <cell r="O12">
            <v>704302.07850785134</v>
          </cell>
          <cell r="P12">
            <v>866862.05559797469</v>
          </cell>
          <cell r="Q12">
            <v>1288479.2884725695</v>
          </cell>
          <cell r="R12">
            <v>2698180.2231114516</v>
          </cell>
          <cell r="S12">
            <v>3387764.019769303</v>
          </cell>
          <cell r="T12">
            <v>3554595.5251892554</v>
          </cell>
          <cell r="Y12">
            <v>821094.97198128258</v>
          </cell>
          <cell r="Z12">
            <v>762193.329973888</v>
          </cell>
          <cell r="AA12">
            <v>677880.19513050572</v>
          </cell>
          <cell r="AB12">
            <v>770336.59234322282</v>
          </cell>
          <cell r="AC12">
            <v>948827.2739442992</v>
          </cell>
          <cell r="AD12">
            <v>1354890.5097397051</v>
          </cell>
          <cell r="AE12">
            <v>2837329.219648527</v>
          </cell>
          <cell r="AF12">
            <v>3562542.5802478027</v>
          </cell>
          <cell r="AG12">
            <v>3612688.1519557671</v>
          </cell>
          <cell r="AH12">
            <v>4126387.6572248633</v>
          </cell>
          <cell r="AI12">
            <v>3440145.9531220119</v>
          </cell>
          <cell r="AJ12">
            <v>1899794.0077016284</v>
          </cell>
        </row>
        <row r="13">
          <cell r="O13">
            <v>132738.87645052664</v>
          </cell>
          <cell r="P13">
            <v>182226.74813356285</v>
          </cell>
          <cell r="Q13">
            <v>216172.4081882684</v>
          </cell>
          <cell r="R13">
            <v>409934.80745718448</v>
          </cell>
          <cell r="S13">
            <v>505366.74834123888</v>
          </cell>
          <cell r="T13">
            <v>522011.99170213938</v>
          </cell>
          <cell r="Y13">
            <v>296792.54419777577</v>
          </cell>
          <cell r="Z13">
            <v>180736.70846029368</v>
          </cell>
          <cell r="AA13">
            <v>216320.14729032002</v>
          </cell>
          <cell r="AB13">
            <v>145184.3134880467</v>
          </cell>
          <cell r="AC13">
            <v>199457.00420816391</v>
          </cell>
          <cell r="AD13">
            <v>227314.43721464049</v>
          </cell>
          <cell r="AE13">
            <v>431075.72925873398</v>
          </cell>
          <cell r="AF13">
            <v>531439.18794250628</v>
          </cell>
          <cell r="AG13">
            <v>530543.21489946265</v>
          </cell>
          <cell r="AH13">
            <v>760216.79047914478</v>
          </cell>
          <cell r="AI13">
            <v>625192.89821576187</v>
          </cell>
          <cell r="AJ13">
            <v>571070.33019069117</v>
          </cell>
        </row>
        <row r="14">
          <cell r="O14">
            <v>132093.98128825889</v>
          </cell>
          <cell r="P14">
            <v>158661.40528045557</v>
          </cell>
          <cell r="Q14">
            <v>282861.75985433656</v>
          </cell>
          <cell r="R14">
            <v>589295.41432492703</v>
          </cell>
          <cell r="S14">
            <v>728249.21026278089</v>
          </cell>
          <cell r="T14">
            <v>778473.05475646944</v>
          </cell>
          <cell r="Y14">
            <v>168725.59062571425</v>
          </cell>
          <cell r="Z14">
            <v>139478.50643155121</v>
          </cell>
          <cell r="AA14">
            <v>120599.89151730444</v>
          </cell>
          <cell r="AB14">
            <v>144478.95373279441</v>
          </cell>
          <cell r="AC14">
            <v>173663.46546173363</v>
          </cell>
          <cell r="AD14">
            <v>297441.11327488447</v>
          </cell>
          <cell r="AE14">
            <v>619686.2180469461</v>
          </cell>
          <cell r="AF14">
            <v>765820.40704525355</v>
          </cell>
          <cell r="AG14">
            <v>791195.61187929322</v>
          </cell>
          <cell r="AH14">
            <v>895266.72508212272</v>
          </cell>
          <cell r="AI14">
            <v>751961.26768360171</v>
          </cell>
          <cell r="AJ14">
            <v>480781.35286224191</v>
          </cell>
        </row>
        <row r="15">
          <cell r="O15">
            <v>-40349.239656918558</v>
          </cell>
          <cell r="P15">
            <v>618171.6511195323</v>
          </cell>
          <cell r="Q15">
            <v>1967607.2338641433</v>
          </cell>
          <cell r="R15">
            <v>1326548.7236364048</v>
          </cell>
          <cell r="S15">
            <v>941835.42893156083</v>
          </cell>
          <cell r="T15">
            <v>440795.30319415504</v>
          </cell>
          <cell r="Y15">
            <v>-251539.35057493747</v>
          </cell>
          <cell r="Z15">
            <v>-230242.5760504253</v>
          </cell>
          <cell r="AA15">
            <v>-2463.94524158379</v>
          </cell>
          <cell r="AB15">
            <v>-44132.335725606092</v>
          </cell>
          <cell r="AC15">
            <v>676622.213157997</v>
          </cell>
          <cell r="AD15">
            <v>2069022.2900035963</v>
          </cell>
          <cell r="AE15">
            <v>1394960.7304291471</v>
          </cell>
          <cell r="AF15">
            <v>990425.77923804952</v>
          </cell>
          <cell r="AG15">
            <v>447999.20497353573</v>
          </cell>
          <cell r="AH15">
            <v>-3054215.6151740667</v>
          </cell>
          <cell r="AI15">
            <v>-5135995.5852569267</v>
          </cell>
          <cell r="AJ15">
            <v>-2376599.3805235992</v>
          </cell>
        </row>
        <row r="16">
          <cell r="O16">
            <v>-1800709.8889656393</v>
          </cell>
          <cell r="P16">
            <v>-1945995.1370026837</v>
          </cell>
          <cell r="Q16">
            <v>-3179171.8288907134</v>
          </cell>
          <cell r="R16">
            <v>-8191662.1064706473</v>
          </cell>
          <cell r="S16">
            <v>-8356862.926323358</v>
          </cell>
          <cell r="T16">
            <v>-10752242.069183838</v>
          </cell>
          <cell r="Y16">
            <v>-3017104.3519653128</v>
          </cell>
          <cell r="Z16">
            <v>-3071812.8343516858</v>
          </cell>
          <cell r="AA16">
            <v>-2652088.424796992</v>
          </cell>
          <cell r="AB16">
            <v>-1969542.2773753323</v>
          </cell>
          <cell r="AC16">
            <v>-2129996.6344442605</v>
          </cell>
          <cell r="AD16">
            <v>-3343033.743989863</v>
          </cell>
          <cell r="AE16">
            <v>-8614117.7869039308</v>
          </cell>
          <cell r="AF16">
            <v>-8788002.894708287</v>
          </cell>
          <cell r="AG16">
            <v>-10927965.574432731</v>
          </cell>
          <cell r="AH16">
            <v>-12369994.034000657</v>
          </cell>
          <cell r="AI16">
            <v>-14846413.530096607</v>
          </cell>
          <cell r="AJ16">
            <v>-8412086.1163306423</v>
          </cell>
        </row>
        <row r="17">
          <cell r="O17">
            <v>-1135851.558477629</v>
          </cell>
          <cell r="P17">
            <v>-864040.40709471796</v>
          </cell>
          <cell r="Q17">
            <v>-987736.02240566013</v>
          </cell>
          <cell r="R17">
            <v>649143.281704308</v>
          </cell>
          <cell r="S17">
            <v>713964.2378403981</v>
          </cell>
          <cell r="T17">
            <v>1847744.8045564189</v>
          </cell>
          <cell r="Y17">
            <v>-1052381.6291968508</v>
          </cell>
          <cell r="Z17">
            <v>-1294139.779390781</v>
          </cell>
          <cell r="AA17">
            <v>-786058.38558499329</v>
          </cell>
          <cell r="AB17">
            <v>-1242347.631316328</v>
          </cell>
          <cell r="AC17">
            <v>-945738.8274722395</v>
          </cell>
          <cell r="AD17">
            <v>-1038646.23580557</v>
          </cell>
          <cell r="AE17">
            <v>682620.52517538192</v>
          </cell>
          <cell r="AF17">
            <v>750798.45681039931</v>
          </cell>
          <cell r="AG17">
            <v>1877942.431411627</v>
          </cell>
          <cell r="AH17">
            <v>1163164.7240525619</v>
          </cell>
          <cell r="AI17">
            <v>2500076.778483124</v>
          </cell>
          <cell r="AJ17">
            <v>-1949962.8557109453</v>
          </cell>
        </row>
        <row r="18">
          <cell r="O18">
            <v>0</v>
          </cell>
          <cell r="P18">
            <v>0</v>
          </cell>
          <cell r="Q18">
            <v>7020.851446950589</v>
          </cell>
          <cell r="R18">
            <v>1366450.0332614491</v>
          </cell>
          <cell r="S18">
            <v>2506972.1407004483</v>
          </cell>
          <cell r="T18">
            <v>4613244.7086137692</v>
          </cell>
          <cell r="Y18">
            <v>0</v>
          </cell>
          <cell r="Z18">
            <v>0</v>
          </cell>
          <cell r="AA18">
            <v>3624.5058774322029</v>
          </cell>
          <cell r="AB18">
            <v>0</v>
          </cell>
          <cell r="AC18">
            <v>0</v>
          </cell>
          <cell r="AD18">
            <v>7382.7224704886212</v>
          </cell>
          <cell r="AE18">
            <v>1436919.8074143117</v>
          </cell>
          <cell r="AF18">
            <v>2636309.656346289</v>
          </cell>
          <cell r="AG18">
            <v>4688638.8008926129</v>
          </cell>
          <cell r="AH18">
            <v>5391206.4272765648</v>
          </cell>
          <cell r="AI18">
            <v>5833492.8328729244</v>
          </cell>
          <cell r="AJ18">
            <v>5307.9441797296904</v>
          </cell>
        </row>
        <row r="19">
          <cell r="O19">
            <v>-1844394.7160758334</v>
          </cell>
          <cell r="P19">
            <v>-1859174.6115852841</v>
          </cell>
          <cell r="Q19">
            <v>-1911809.4549901001</v>
          </cell>
          <cell r="R19">
            <v>-39571.199987311862</v>
          </cell>
          <cell r="S19">
            <v>-23111.416870989146</v>
          </cell>
          <cell r="T19">
            <v>-2702.2598891013427</v>
          </cell>
          <cell r="Y19">
            <v>-2161326.8022751957</v>
          </cell>
          <cell r="Z19">
            <v>-2287493.5846953304</v>
          </cell>
          <cell r="AA19">
            <v>-2158597.4561371356</v>
          </cell>
          <cell r="AB19">
            <v>-2017322.9412127382</v>
          </cell>
          <cell r="AC19">
            <v>-2034966.886721161</v>
          </cell>
          <cell r="AD19">
            <v>-2010348.5637455545</v>
          </cell>
          <cell r="AE19">
            <v>-41611.943123310652</v>
          </cell>
          <cell r="AF19">
            <v>-24303.760891339494</v>
          </cell>
          <cell r="AG19">
            <v>-2746.4228252360585</v>
          </cell>
          <cell r="AH19">
            <v>-9990.6778759945064</v>
          </cell>
          <cell r="AI19">
            <v>-29386.767758330592</v>
          </cell>
          <cell r="AJ19">
            <v>-3736489.2423288152</v>
          </cell>
        </row>
        <row r="20">
          <cell r="O20">
            <v>187.71343755750141</v>
          </cell>
          <cell r="P20">
            <v>-390.76537576086406</v>
          </cell>
          <cell r="Q20">
            <v>-695.1883551971805</v>
          </cell>
          <cell r="R20">
            <v>-1181.6515376327652</v>
          </cell>
          <cell r="S20">
            <v>-1047.4497443695257</v>
          </cell>
          <cell r="T20">
            <v>-3930.9824905920091</v>
          </cell>
          <cell r="Y20">
            <v>1093.3733802116383</v>
          </cell>
          <cell r="Z20">
            <v>149.90181659650241</v>
          </cell>
          <cell r="AA20">
            <v>82.605549770274308</v>
          </cell>
          <cell r="AB20">
            <v>205.31322317184672</v>
          </cell>
          <cell r="AC20">
            <v>-427.71377965002563</v>
          </cell>
          <cell r="AD20">
            <v>-731.01998096903617</v>
          </cell>
          <cell r="AE20">
            <v>-1242.5909901977541</v>
          </cell>
          <cell r="AF20">
            <v>-1101.4888561335572</v>
          </cell>
          <cell r="AG20">
            <v>-3995.2263959909214</v>
          </cell>
          <cell r="AH20">
            <v>-1512.7169461021156</v>
          </cell>
          <cell r="AI20">
            <v>-2120.8614110384838</v>
          </cell>
          <cell r="AJ20">
            <v>-1255.6271880827946</v>
          </cell>
        </row>
        <row r="21">
          <cell r="O21">
            <v>931419.67058630218</v>
          </cell>
          <cell r="P21">
            <v>860171.64346726995</v>
          </cell>
          <cell r="Q21">
            <v>1171884.5100152104</v>
          </cell>
          <cell r="R21">
            <v>1538127.9432099678</v>
          </cell>
          <cell r="S21">
            <v>1422041.5283008995</v>
          </cell>
          <cell r="T21">
            <v>1608157.0819724374</v>
          </cell>
          <cell r="Y21">
            <v>1751808.4061979048</v>
          </cell>
          <cell r="Z21">
            <v>1665750.8762184177</v>
          </cell>
          <cell r="AA21">
            <v>1547147.823599203</v>
          </cell>
          <cell r="AB21">
            <v>1018748.4560616708</v>
          </cell>
          <cell r="AC21">
            <v>941504.25702073413</v>
          </cell>
          <cell r="AD21">
            <v>1232286.1650440684</v>
          </cell>
          <cell r="AE21">
            <v>1617451.3916623814</v>
          </cell>
          <cell r="AF21">
            <v>1495406.2519967377</v>
          </cell>
          <cell r="AG21">
            <v>1634439.1352983145</v>
          </cell>
          <cell r="AH21">
            <v>1715388.5173654691</v>
          </cell>
          <cell r="AI21">
            <v>3594354.1539540128</v>
          </cell>
          <cell r="AJ21">
            <v>3735849.6774707446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2 monthly activity"/>
      <sheetName val="div 12 monthly activity"/>
      <sheetName val="div 91 monthly activity"/>
      <sheetName val="div 9 monthly activity"/>
      <sheetName val="FERC retrieval"/>
      <sheetName val="div 9 monthly for revs"/>
      <sheetName val="div 9 monthly 9220"/>
      <sheetName val="div 9 depr"/>
      <sheetName val="Outside Svcs Summary"/>
      <sheetName val="div 9 acct 923"/>
      <sheetName val="div 91 acct 923"/>
      <sheetName val="div 2 acct 923"/>
      <sheetName val="div 12 acct 923"/>
      <sheetName val="acct 4264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D11">
            <v>371037.76</v>
          </cell>
          <cell r="E11">
            <v>385719.83</v>
          </cell>
          <cell r="F11">
            <v>451607.47</v>
          </cell>
          <cell r="G11">
            <v>354251.59</v>
          </cell>
          <cell r="H11">
            <v>651250.93999999994</v>
          </cell>
          <cell r="I11">
            <v>342624.78</v>
          </cell>
        </row>
        <row r="12">
          <cell r="D12">
            <v>390747.55</v>
          </cell>
          <cell r="E12">
            <v>334652.31</v>
          </cell>
          <cell r="F12">
            <v>374633.27</v>
          </cell>
          <cell r="G12">
            <v>329558.78999999998</v>
          </cell>
          <cell r="H12">
            <v>805469.41</v>
          </cell>
          <cell r="I12">
            <v>-109968.18</v>
          </cell>
        </row>
        <row r="13">
          <cell r="D13">
            <v>287193.78999999998</v>
          </cell>
          <cell r="E13">
            <v>287409.46000000002</v>
          </cell>
          <cell r="F13">
            <v>285290.28999999998</v>
          </cell>
          <cell r="G13">
            <v>280346.63</v>
          </cell>
          <cell r="H13">
            <v>304829.27</v>
          </cell>
          <cell r="I13">
            <v>270677.24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iv 9"/>
      <sheetName val="Div 91"/>
      <sheetName val="Div 2"/>
      <sheetName val="Div 12"/>
      <sheetName val="2016 PlanIt Budget"/>
    </sheetNames>
    <sheetDataSet>
      <sheetData sheetId="0">
        <row r="5">
          <cell r="C5">
            <v>246064.07999999993</v>
          </cell>
          <cell r="D5">
            <v>223116.25000000006</v>
          </cell>
          <cell r="E5">
            <v>272951.9600000002</v>
          </cell>
          <cell r="F5">
            <v>217850.18000000005</v>
          </cell>
          <cell r="G5">
            <v>223830.8300000001</v>
          </cell>
          <cell r="H5">
            <v>198393.37</v>
          </cell>
          <cell r="I5">
            <v>175303.43618294419</v>
          </cell>
          <cell r="J5">
            <v>193084.9756696331</v>
          </cell>
          <cell r="K5">
            <v>193084.9756696331</v>
          </cell>
          <cell r="L5">
            <v>193084.9756696331</v>
          </cell>
          <cell r="M5">
            <v>193084.9756696331</v>
          </cell>
          <cell r="N5">
            <v>193084.9756696331</v>
          </cell>
        </row>
        <row r="6">
          <cell r="C6">
            <v>293.57999999999947</v>
          </cell>
          <cell r="D6">
            <v>-298.44000000000005</v>
          </cell>
          <cell r="E6">
            <v>399.57999999999993</v>
          </cell>
          <cell r="F6">
            <v>170.03</v>
          </cell>
          <cell r="G6">
            <v>176.73</v>
          </cell>
          <cell r="H6">
            <v>156.05999999999995</v>
          </cell>
          <cell r="I6">
            <v>113.8338061352573</v>
          </cell>
          <cell r="J6">
            <v>125.38030153082846</v>
          </cell>
          <cell r="K6">
            <v>125.38030153082846</v>
          </cell>
          <cell r="L6">
            <v>125.38030153082846</v>
          </cell>
          <cell r="M6">
            <v>125.38030153082846</v>
          </cell>
          <cell r="N6">
            <v>125.38030153082846</v>
          </cell>
        </row>
        <row r="7">
          <cell r="C7">
            <v>3331.3900000000021</v>
          </cell>
          <cell r="D7">
            <v>-586.07999999999993</v>
          </cell>
          <cell r="E7">
            <v>630.81999999999994</v>
          </cell>
          <cell r="F7">
            <v>628.08999999999992</v>
          </cell>
          <cell r="G7">
            <v>491.69</v>
          </cell>
          <cell r="H7">
            <v>569.2600000000001</v>
          </cell>
          <cell r="I7">
            <v>642.40878381144216</v>
          </cell>
          <cell r="J7">
            <v>707.57018283854427</v>
          </cell>
          <cell r="K7">
            <v>707.57018283854427</v>
          </cell>
          <cell r="L7">
            <v>707.57018283854427</v>
          </cell>
          <cell r="M7">
            <v>707.57018283854427</v>
          </cell>
          <cell r="N7">
            <v>707.57018283854427</v>
          </cell>
        </row>
        <row r="8">
          <cell r="C8">
            <v>45000</v>
          </cell>
          <cell r="D8">
            <v>45000</v>
          </cell>
          <cell r="E8">
            <v>85000</v>
          </cell>
          <cell r="F8">
            <v>85000</v>
          </cell>
          <cell r="G8">
            <v>85000</v>
          </cell>
          <cell r="H8">
            <v>85000</v>
          </cell>
          <cell r="I8">
            <v>85000</v>
          </cell>
        </row>
        <row r="9">
          <cell r="C9">
            <v>0</v>
          </cell>
          <cell r="D9">
            <v>58.94</v>
          </cell>
          <cell r="E9">
            <v>0</v>
          </cell>
          <cell r="F9">
            <v>-1.38</v>
          </cell>
          <cell r="G9">
            <v>24466.23</v>
          </cell>
          <cell r="H9">
            <v>0</v>
          </cell>
          <cell r="I9"/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44.640000000000008</v>
          </cell>
          <cell r="H10">
            <v>0</v>
          </cell>
          <cell r="I10"/>
        </row>
        <row r="15">
          <cell r="C15">
            <v>220184.16999999998</v>
          </cell>
          <cell r="D15">
            <v>199801.41</v>
          </cell>
          <cell r="E15">
            <v>243419.56000000003</v>
          </cell>
          <cell r="F15">
            <v>188310.48</v>
          </cell>
          <cell r="G15">
            <v>193205.41999999998</v>
          </cell>
          <cell r="H15">
            <v>171926.27</v>
          </cell>
          <cell r="I15">
            <v>165088.71111387134</v>
          </cell>
          <cell r="J15">
            <v>179787.49262949187</v>
          </cell>
          <cell r="K15">
            <v>179787.49262949187</v>
          </cell>
          <cell r="L15">
            <v>179787.49262949187</v>
          </cell>
          <cell r="M15">
            <v>179787.49262949187</v>
          </cell>
          <cell r="N15">
            <v>179787.49262949187</v>
          </cell>
        </row>
        <row r="16">
          <cell r="C16">
            <v>264.57000000000016</v>
          </cell>
          <cell r="D16">
            <v>-266.5100000000001</v>
          </cell>
          <cell r="E16">
            <v>355.96</v>
          </cell>
          <cell r="F16">
            <v>145.5</v>
          </cell>
          <cell r="G16">
            <v>152.31</v>
          </cell>
          <cell r="H16">
            <v>135.41999999999999</v>
          </cell>
          <cell r="I16">
            <v>106.80558419806606</v>
          </cell>
          <cell r="J16">
            <v>116.31508933735282</v>
          </cell>
          <cell r="K16">
            <v>116.31508933735282</v>
          </cell>
          <cell r="L16">
            <v>116.31508933735282</v>
          </cell>
          <cell r="M16">
            <v>116.31508933735282</v>
          </cell>
          <cell r="N16">
            <v>116.31508933735282</v>
          </cell>
        </row>
        <row r="17">
          <cell r="C17">
            <v>2984.8899999999994</v>
          </cell>
          <cell r="D17">
            <v>-522.12000000000035</v>
          </cell>
          <cell r="E17">
            <v>559.8900000000001</v>
          </cell>
          <cell r="F17">
            <v>539.84</v>
          </cell>
          <cell r="G17">
            <v>423.86</v>
          </cell>
          <cell r="H17">
            <v>493.40000000000003</v>
          </cell>
          <cell r="I17">
            <v>607.76549236853396</v>
          </cell>
          <cell r="J17">
            <v>661.87829102559488</v>
          </cell>
          <cell r="K17">
            <v>661.87829102559488</v>
          </cell>
          <cell r="L17">
            <v>661.87829102559488</v>
          </cell>
          <cell r="M17">
            <v>661.87829102559488</v>
          </cell>
          <cell r="N17">
            <v>661.87829102559488</v>
          </cell>
        </row>
        <row r="18">
          <cell r="C18">
            <v>50000</v>
          </cell>
          <cell r="D18">
            <v>50000</v>
          </cell>
          <cell r="E18">
            <v>50000</v>
          </cell>
          <cell r="F18">
            <v>50000</v>
          </cell>
          <cell r="G18">
            <v>50000</v>
          </cell>
          <cell r="H18">
            <v>50000</v>
          </cell>
          <cell r="I18">
            <v>50000</v>
          </cell>
        </row>
        <row r="24">
          <cell r="C24">
            <v>10597.980000000001</v>
          </cell>
          <cell r="D24">
            <v>7986.24</v>
          </cell>
          <cell r="E24">
            <v>21767.620000000006</v>
          </cell>
          <cell r="F24">
            <v>6560.800000000002</v>
          </cell>
          <cell r="G24">
            <v>8325.7099999999973</v>
          </cell>
          <cell r="H24">
            <v>8803.19</v>
          </cell>
          <cell r="I24">
            <v>7622.8497917870172</v>
          </cell>
          <cell r="J24">
            <v>8826.2759720775739</v>
          </cell>
          <cell r="K24">
            <v>8826.2759720775739</v>
          </cell>
          <cell r="L24">
            <v>8826.2759720775739</v>
          </cell>
          <cell r="M24">
            <v>8826.2759720775739</v>
          </cell>
          <cell r="N24">
            <v>8826.2759720775739</v>
          </cell>
        </row>
        <row r="25">
          <cell r="C25">
            <v>-110.30000000000001</v>
          </cell>
          <cell r="D25">
            <v>-30.099999999999998</v>
          </cell>
          <cell r="E25">
            <v>3.9200000000000008</v>
          </cell>
          <cell r="F25">
            <v>5.05</v>
          </cell>
          <cell r="G25">
            <v>0.97</v>
          </cell>
          <cell r="H25">
            <v>0.46000000000000013</v>
          </cell>
          <cell r="I25">
            <v>-15.473870130735644</v>
          </cell>
          <cell r="J25">
            <v>-17.916743981641982</v>
          </cell>
          <cell r="K25">
            <v>-17.916743981641982</v>
          </cell>
          <cell r="L25">
            <v>-17.916743981641982</v>
          </cell>
          <cell r="M25">
            <v>-17.916743981641982</v>
          </cell>
          <cell r="N25">
            <v>-17.916743981641982</v>
          </cell>
        </row>
        <row r="26">
          <cell r="C26">
            <v>633.2299999999999</v>
          </cell>
          <cell r="D26">
            <v>-320.97000000000008</v>
          </cell>
          <cell r="E26">
            <v>-5.2899999999999991</v>
          </cell>
          <cell r="F26">
            <v>12.2</v>
          </cell>
          <cell r="G26">
            <v>4.4500000000000011</v>
          </cell>
          <cell r="H26">
            <v>3.2</v>
          </cell>
          <cell r="I26">
            <v>38.901309508669385</v>
          </cell>
          <cell r="J26">
            <v>45.042694369847915</v>
          </cell>
          <cell r="K26">
            <v>45.042694369847915</v>
          </cell>
          <cell r="L26">
            <v>45.042694369847915</v>
          </cell>
          <cell r="M26">
            <v>45.042694369847915</v>
          </cell>
          <cell r="N26">
            <v>45.042694369847915</v>
          </cell>
        </row>
        <row r="27">
          <cell r="C27">
            <v>139.52000000000001</v>
          </cell>
          <cell r="D27">
            <v>55.27</v>
          </cell>
          <cell r="E27">
            <v>23.69</v>
          </cell>
          <cell r="F27">
            <v>3.95</v>
          </cell>
          <cell r="G27">
            <v>7.9</v>
          </cell>
          <cell r="H27">
            <v>90.8</v>
          </cell>
          <cell r="I27"/>
        </row>
        <row r="28">
          <cell r="C28">
            <v>10000</v>
          </cell>
          <cell r="D28">
            <v>10000</v>
          </cell>
          <cell r="E28">
            <v>10000</v>
          </cell>
          <cell r="F28">
            <v>10000</v>
          </cell>
          <cell r="G28">
            <v>10000</v>
          </cell>
          <cell r="H28">
            <v>10000</v>
          </cell>
          <cell r="I28">
            <v>10000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</row>
        <row r="35">
          <cell r="C35">
            <v>30159.9</v>
          </cell>
          <cell r="D35">
            <v>18101.73</v>
          </cell>
          <cell r="E35">
            <v>50135.78</v>
          </cell>
          <cell r="F35">
            <v>14663.859999999995</v>
          </cell>
          <cell r="G35">
            <v>18263.189999999999</v>
          </cell>
          <cell r="H35">
            <v>19091.560000000001</v>
          </cell>
          <cell r="I35">
            <v>19008.678194129516</v>
          </cell>
          <cell r="J35">
            <v>56083.21688743015</v>
          </cell>
          <cell r="K35">
            <v>54996.039566527754</v>
          </cell>
          <cell r="L35">
            <v>20426.389279262308</v>
          </cell>
          <cell r="M35">
            <v>52700.223722204566</v>
          </cell>
          <cell r="N35">
            <v>32202.152421783856</v>
          </cell>
        </row>
        <row r="36">
          <cell r="C36">
            <v>-234.72000000000003</v>
          </cell>
          <cell r="D36">
            <v>-81.75</v>
          </cell>
          <cell r="E36">
            <v>9.1900000000000031</v>
          </cell>
          <cell r="F36">
            <v>11.42</v>
          </cell>
          <cell r="G36">
            <v>2.0100000000000007</v>
          </cell>
          <cell r="H36">
            <v>0.96000000000000041</v>
          </cell>
          <cell r="I36">
            <v>-37.013688809733132</v>
          </cell>
          <cell r="J36">
            <v>-109.20521227831598</v>
          </cell>
          <cell r="K36">
            <v>-107.08826113495304</v>
          </cell>
          <cell r="L36">
            <v>-39.77425513587675</v>
          </cell>
          <cell r="M36">
            <v>-102.61784965455475</v>
          </cell>
          <cell r="N36">
            <v>-62.70401532241231</v>
          </cell>
        </row>
        <row r="37">
          <cell r="C37">
            <v>1801.41</v>
          </cell>
          <cell r="D37">
            <v>-873.84999999999991</v>
          </cell>
          <cell r="E37">
            <v>-11.569999999999997</v>
          </cell>
          <cell r="F37">
            <v>27.549999999999997</v>
          </cell>
          <cell r="G37">
            <v>9.6100000000000012</v>
          </cell>
          <cell r="H37">
            <v>6.9799999999999995</v>
          </cell>
          <cell r="I37">
            <v>121.33549468021808</v>
          </cell>
          <cell r="J37">
            <v>357.9883248481666</v>
          </cell>
          <cell r="K37">
            <v>351.0486946071988</v>
          </cell>
          <cell r="L37">
            <v>130.38497587356801</v>
          </cell>
          <cell r="M37">
            <v>336.39412744999021</v>
          </cell>
          <cell r="N37">
            <v>205.5515935385562</v>
          </cell>
        </row>
        <row r="38">
          <cell r="C38">
            <v>0</v>
          </cell>
          <cell r="D38">
            <v>82.9</v>
          </cell>
          <cell r="E38">
            <v>248.57</v>
          </cell>
          <cell r="F38">
            <v>75.010000000000005</v>
          </cell>
          <cell r="G38">
            <v>98.7</v>
          </cell>
          <cell r="H38">
            <v>-325.5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355588</v>
          </cell>
          <cell r="D39">
            <v>355588</v>
          </cell>
          <cell r="E39">
            <v>475588</v>
          </cell>
          <cell r="F39">
            <v>475588</v>
          </cell>
          <cell r="G39">
            <v>475588</v>
          </cell>
          <cell r="H39">
            <v>475588</v>
          </cell>
        </row>
        <row r="40">
          <cell r="C40">
            <v>0</v>
          </cell>
          <cell r="D40">
            <v>63869.85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70.2</v>
          </cell>
          <cell r="D41">
            <v>50946.46</v>
          </cell>
          <cell r="E41">
            <v>35.5</v>
          </cell>
          <cell r="F41">
            <v>0</v>
          </cell>
          <cell r="G41">
            <v>17414.849999999999</v>
          </cell>
          <cell r="H41">
            <v>192</v>
          </cell>
          <cell r="I41">
            <v>76</v>
          </cell>
          <cell r="J41">
            <v>14234</v>
          </cell>
          <cell r="K41">
            <v>55</v>
          </cell>
          <cell r="L41">
            <v>600</v>
          </cell>
          <cell r="M41">
            <v>25776</v>
          </cell>
          <cell r="N41">
            <v>227</v>
          </cell>
        </row>
        <row r="42">
          <cell r="C42">
            <v>26509.54</v>
          </cell>
          <cell r="D42">
            <v>26509.54</v>
          </cell>
          <cell r="E42">
            <v>26509.54</v>
          </cell>
          <cell r="F42">
            <v>26509.54</v>
          </cell>
          <cell r="G42">
            <v>31189.31</v>
          </cell>
          <cell r="H42">
            <v>31189.31</v>
          </cell>
          <cell r="I42">
            <v>28037</v>
          </cell>
          <cell r="J42">
            <v>31189</v>
          </cell>
          <cell r="K42">
            <v>31189</v>
          </cell>
          <cell r="L42">
            <v>31189</v>
          </cell>
          <cell r="M42">
            <v>31189</v>
          </cell>
          <cell r="N42">
            <v>31189</v>
          </cell>
        </row>
        <row r="43">
          <cell r="C43">
            <v>15633.9</v>
          </cell>
          <cell r="D43">
            <v>14237.6</v>
          </cell>
          <cell r="E43">
            <v>16828.98</v>
          </cell>
          <cell r="F43">
            <v>13664.88</v>
          </cell>
          <cell r="G43">
            <v>13940.71</v>
          </cell>
          <cell r="H43">
            <v>12724.86</v>
          </cell>
          <cell r="I43">
            <v>12327.229549399461</v>
          </cell>
        </row>
        <row r="44">
          <cell r="C44">
            <v>15496.55</v>
          </cell>
          <cell r="D44">
            <v>14055.77</v>
          </cell>
          <cell r="E44">
            <v>18877.48</v>
          </cell>
          <cell r="F44">
            <v>15967.61</v>
          </cell>
          <cell r="G44">
            <v>17564.29</v>
          </cell>
          <cell r="H44">
            <v>14940.69</v>
          </cell>
          <cell r="I44">
            <v>13725.44226995427</v>
          </cell>
        </row>
        <row r="45">
          <cell r="C45">
            <v>10438.870000000001</v>
          </cell>
          <cell r="D45">
            <v>8686.01</v>
          </cell>
          <cell r="E45">
            <v>15608.87</v>
          </cell>
          <cell r="F45">
            <v>8141.77</v>
          </cell>
          <cell r="G45">
            <v>9004.4500000000007</v>
          </cell>
          <cell r="H45">
            <v>9278.74</v>
          </cell>
          <cell r="I45">
            <v>8662.638180646265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6 Budget"/>
      <sheetName val="Staff_1-59_Att15 - FY 2016 Ad V"/>
    </sheetNames>
    <sheetDataSet>
      <sheetData sheetId="0">
        <row r="5">
          <cell r="I5">
            <v>852000</v>
          </cell>
        </row>
        <row r="6">
          <cell r="I6">
            <v>660000</v>
          </cell>
        </row>
        <row r="21">
          <cell r="I21">
            <v>4747056</v>
          </cell>
        </row>
        <row r="25">
          <cell r="I25">
            <v>90000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"/>
      <sheetName val="Pivot"/>
      <sheetName val="Database"/>
    </sheetNames>
    <sheetDataSet>
      <sheetData sheetId="0">
        <row r="15">
          <cell r="D15">
            <v>-312</v>
          </cell>
        </row>
        <row r="16">
          <cell r="D16">
            <v>400</v>
          </cell>
        </row>
        <row r="17">
          <cell r="D17">
            <v>7500</v>
          </cell>
        </row>
        <row r="18">
          <cell r="D18">
            <v>125</v>
          </cell>
        </row>
        <row r="19">
          <cell r="D19">
            <v>405</v>
          </cell>
        </row>
        <row r="20">
          <cell r="D20">
            <v>500</v>
          </cell>
        </row>
        <row r="21">
          <cell r="D21">
            <v>100</v>
          </cell>
        </row>
        <row r="22">
          <cell r="D22">
            <v>300</v>
          </cell>
        </row>
        <row r="23">
          <cell r="D23">
            <v>2000</v>
          </cell>
        </row>
        <row r="24">
          <cell r="D24">
            <v>1248.08</v>
          </cell>
        </row>
        <row r="25">
          <cell r="D25">
            <v>525</v>
          </cell>
        </row>
        <row r="26">
          <cell r="D26">
            <v>500</v>
          </cell>
        </row>
        <row r="27">
          <cell r="D27">
            <v>325</v>
          </cell>
        </row>
        <row r="28">
          <cell r="D28">
            <v>300</v>
          </cell>
        </row>
        <row r="29">
          <cell r="D29">
            <v>300</v>
          </cell>
        </row>
        <row r="30">
          <cell r="D30">
            <v>4125</v>
          </cell>
        </row>
        <row r="31">
          <cell r="D31">
            <v>100</v>
          </cell>
        </row>
        <row r="32">
          <cell r="D32">
            <v>175</v>
          </cell>
        </row>
        <row r="33">
          <cell r="D33">
            <v>760</v>
          </cell>
        </row>
        <row r="34">
          <cell r="D34">
            <v>10000</v>
          </cell>
        </row>
        <row r="35">
          <cell r="D35">
            <v>200</v>
          </cell>
        </row>
        <row r="36">
          <cell r="D36">
            <v>200</v>
          </cell>
        </row>
        <row r="37">
          <cell r="D37">
            <v>295</v>
          </cell>
        </row>
        <row r="38">
          <cell r="D38">
            <v>500</v>
          </cell>
        </row>
        <row r="39">
          <cell r="D39">
            <v>1540</v>
          </cell>
        </row>
        <row r="40">
          <cell r="D40">
            <v>11600</v>
          </cell>
        </row>
        <row r="41">
          <cell r="D41">
            <v>3000</v>
          </cell>
        </row>
        <row r="42">
          <cell r="D42">
            <v>10950</v>
          </cell>
        </row>
        <row r="43">
          <cell r="D43">
            <v>500</v>
          </cell>
        </row>
        <row r="44">
          <cell r="D44">
            <v>1000</v>
          </cell>
        </row>
        <row r="45">
          <cell r="D45">
            <v>125</v>
          </cell>
        </row>
        <row r="46">
          <cell r="D46">
            <v>150</v>
          </cell>
        </row>
        <row r="47">
          <cell r="D47">
            <v>125</v>
          </cell>
        </row>
        <row r="48">
          <cell r="D48">
            <v>100</v>
          </cell>
        </row>
        <row r="49">
          <cell r="D49">
            <v>350</v>
          </cell>
        </row>
        <row r="50">
          <cell r="D50">
            <v>125</v>
          </cell>
        </row>
        <row r="51">
          <cell r="D51">
            <v>1312</v>
          </cell>
        </row>
        <row r="52">
          <cell r="D52">
            <v>305</v>
          </cell>
        </row>
        <row r="53">
          <cell r="D53">
            <v>400</v>
          </cell>
        </row>
        <row r="54">
          <cell r="D54">
            <v>20</v>
          </cell>
        </row>
        <row r="55">
          <cell r="D55">
            <v>890</v>
          </cell>
        </row>
        <row r="56">
          <cell r="D56">
            <v>500</v>
          </cell>
        </row>
        <row r="57">
          <cell r="D57">
            <v>300</v>
          </cell>
        </row>
        <row r="58">
          <cell r="D58">
            <v>250</v>
          </cell>
        </row>
        <row r="59">
          <cell r="D59">
            <v>755</v>
          </cell>
        </row>
        <row r="60">
          <cell r="D60">
            <v>500</v>
          </cell>
        </row>
        <row r="61">
          <cell r="D61">
            <v>75</v>
          </cell>
        </row>
        <row r="62">
          <cell r="D62">
            <v>719.4</v>
          </cell>
        </row>
        <row r="63">
          <cell r="D63">
            <v>130</v>
          </cell>
        </row>
        <row r="64">
          <cell r="D64">
            <v>3000</v>
          </cell>
        </row>
        <row r="65">
          <cell r="D65">
            <v>125</v>
          </cell>
        </row>
        <row r="66">
          <cell r="D66">
            <v>240</v>
          </cell>
        </row>
        <row r="67">
          <cell r="D67">
            <v>250</v>
          </cell>
        </row>
        <row r="68">
          <cell r="D68">
            <v>275</v>
          </cell>
        </row>
        <row r="69">
          <cell r="D69">
            <v>34.25</v>
          </cell>
        </row>
        <row r="70">
          <cell r="D70"/>
        </row>
        <row r="77">
          <cell r="D77">
            <v>-312</v>
          </cell>
        </row>
        <row r="78">
          <cell r="D78">
            <v>400</v>
          </cell>
        </row>
        <row r="79">
          <cell r="D79">
            <v>7500</v>
          </cell>
        </row>
        <row r="80">
          <cell r="D80">
            <v>125</v>
          </cell>
        </row>
        <row r="81">
          <cell r="D81">
            <v>405</v>
          </cell>
        </row>
        <row r="82">
          <cell r="D82">
            <v>500</v>
          </cell>
        </row>
        <row r="83">
          <cell r="D83">
            <v>100</v>
          </cell>
        </row>
        <row r="84">
          <cell r="D84">
            <v>300</v>
          </cell>
        </row>
        <row r="85">
          <cell r="D85">
            <v>2000</v>
          </cell>
        </row>
        <row r="86">
          <cell r="D86">
            <v>1248.08</v>
          </cell>
        </row>
        <row r="87">
          <cell r="D87">
            <v>525</v>
          </cell>
        </row>
        <row r="88">
          <cell r="D88">
            <v>500</v>
          </cell>
        </row>
        <row r="89">
          <cell r="D89">
            <v>325</v>
          </cell>
        </row>
        <row r="90">
          <cell r="D90">
            <v>300</v>
          </cell>
        </row>
        <row r="91">
          <cell r="D91">
            <v>300</v>
          </cell>
        </row>
        <row r="92">
          <cell r="D92">
            <v>4125</v>
          </cell>
        </row>
        <row r="93">
          <cell r="D93">
            <v>100</v>
          </cell>
        </row>
        <row r="94">
          <cell r="D94">
            <v>175</v>
          </cell>
        </row>
        <row r="95">
          <cell r="D95">
            <v>760</v>
          </cell>
        </row>
        <row r="96">
          <cell r="D96">
            <v>10000</v>
          </cell>
        </row>
        <row r="97">
          <cell r="D97">
            <v>200</v>
          </cell>
        </row>
        <row r="98">
          <cell r="D98">
            <v>200</v>
          </cell>
        </row>
        <row r="99">
          <cell r="D99">
            <v>295</v>
          </cell>
        </row>
        <row r="100">
          <cell r="D100">
            <v>500</v>
          </cell>
        </row>
        <row r="101">
          <cell r="D101">
            <v>1540</v>
          </cell>
        </row>
        <row r="102">
          <cell r="D102">
            <v>11600</v>
          </cell>
        </row>
        <row r="103">
          <cell r="D103">
            <v>3000</v>
          </cell>
        </row>
        <row r="104">
          <cell r="D104">
            <v>10950</v>
          </cell>
        </row>
        <row r="105">
          <cell r="D105">
            <v>500</v>
          </cell>
        </row>
        <row r="106">
          <cell r="D106">
            <v>1000</v>
          </cell>
        </row>
        <row r="107">
          <cell r="D107">
            <v>125</v>
          </cell>
        </row>
        <row r="108">
          <cell r="D108">
            <v>150</v>
          </cell>
        </row>
        <row r="109">
          <cell r="D109">
            <v>125</v>
          </cell>
        </row>
        <row r="110">
          <cell r="D110">
            <v>100</v>
          </cell>
        </row>
        <row r="111">
          <cell r="D111">
            <v>350</v>
          </cell>
        </row>
        <row r="112">
          <cell r="D112">
            <v>125</v>
          </cell>
        </row>
        <row r="113">
          <cell r="D113">
            <v>1312</v>
          </cell>
        </row>
        <row r="114">
          <cell r="D114">
            <v>305</v>
          </cell>
        </row>
        <row r="115">
          <cell r="D115">
            <v>400</v>
          </cell>
        </row>
        <row r="116">
          <cell r="D116">
            <v>20</v>
          </cell>
        </row>
        <row r="117">
          <cell r="D117">
            <v>890</v>
          </cell>
        </row>
        <row r="118">
          <cell r="D118">
            <v>500</v>
          </cell>
        </row>
        <row r="119">
          <cell r="D119">
            <v>300</v>
          </cell>
        </row>
        <row r="120">
          <cell r="D120">
            <v>250</v>
          </cell>
        </row>
        <row r="121">
          <cell r="D121">
            <v>755</v>
          </cell>
        </row>
        <row r="122">
          <cell r="D122">
            <v>500</v>
          </cell>
        </row>
        <row r="123">
          <cell r="D123">
            <v>75</v>
          </cell>
        </row>
        <row r="124">
          <cell r="D124">
            <v>719.4</v>
          </cell>
        </row>
        <row r="125">
          <cell r="D125">
            <v>130</v>
          </cell>
        </row>
        <row r="126">
          <cell r="D126">
            <v>3000</v>
          </cell>
        </row>
        <row r="127">
          <cell r="D127">
            <v>125</v>
          </cell>
        </row>
        <row r="128">
          <cell r="D128">
            <v>240</v>
          </cell>
        </row>
        <row r="129">
          <cell r="D129">
            <v>250</v>
          </cell>
        </row>
        <row r="130">
          <cell r="D130">
            <v>275</v>
          </cell>
        </row>
        <row r="131">
          <cell r="D131">
            <v>34.25</v>
          </cell>
        </row>
        <row r="132">
          <cell r="D132">
            <v>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1"/>
      <sheetName val="Support"/>
    </sheetNames>
    <sheetDataSet>
      <sheetData sheetId="0">
        <row r="15">
          <cell r="D15">
            <v>46799.33</v>
          </cell>
        </row>
        <row r="16">
          <cell r="D16">
            <v>585</v>
          </cell>
        </row>
        <row r="17">
          <cell r="D17">
            <v>1000</v>
          </cell>
        </row>
        <row r="18">
          <cell r="D18">
            <v>14850</v>
          </cell>
        </row>
        <row r="19">
          <cell r="D19">
            <v>6000</v>
          </cell>
        </row>
        <row r="20">
          <cell r="D20">
            <v>73208</v>
          </cell>
        </row>
        <row r="21">
          <cell r="D21">
            <v>0</v>
          </cell>
        </row>
        <row r="22">
          <cell r="D22">
            <v>500</v>
          </cell>
        </row>
        <row r="23">
          <cell r="D23">
            <v>232793</v>
          </cell>
        </row>
        <row r="29">
          <cell r="D29">
            <v>46799.33</v>
          </cell>
        </row>
        <row r="30">
          <cell r="D30">
            <v>585</v>
          </cell>
        </row>
        <row r="31">
          <cell r="D31">
            <v>1000</v>
          </cell>
        </row>
        <row r="32">
          <cell r="D32">
            <v>14850</v>
          </cell>
        </row>
        <row r="33">
          <cell r="D33">
            <v>6000</v>
          </cell>
        </row>
        <row r="34">
          <cell r="D34">
            <v>73208</v>
          </cell>
        </row>
        <row r="35">
          <cell r="D35">
            <v>0</v>
          </cell>
        </row>
        <row r="36">
          <cell r="D36">
            <v>500</v>
          </cell>
        </row>
        <row r="37">
          <cell r="D37">
            <v>232793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2.2"/>
      <sheetName val="Pivot"/>
      <sheetName val="Database"/>
      <sheetName val="Sheet1"/>
    </sheetNames>
    <sheetDataSet>
      <sheetData sheetId="0">
        <row r="16">
          <cell r="D16">
            <v>0</v>
          </cell>
        </row>
        <row r="18">
          <cell r="D18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V Center"/>
      <sheetName val="Detail CKV"/>
      <sheetName val="Greenville"/>
      <sheetName val="Notes "/>
    </sheetNames>
    <sheetDataSet>
      <sheetData sheetId="0">
        <row r="20">
          <cell r="L20">
            <v>1.083947E-2</v>
          </cell>
        </row>
      </sheetData>
      <sheetData sheetId="1"/>
      <sheetData sheetId="2">
        <row r="24">
          <cell r="H24">
            <v>1.5418259551017742E-2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ert summary"/>
      <sheetName val="Div 9 adv"/>
      <sheetName val="6E0C513A2F9C450B86AA841589EF8A4"/>
      <sheetName val="Div 91 adv"/>
      <sheetName val="Div 2 adv"/>
      <sheetName val="Div 12 adv"/>
      <sheetName val="Outside Svcs Summary"/>
      <sheetName val="Div 9 outside svcs"/>
      <sheetName val="Div 91 outside svcs"/>
      <sheetName val="Div 2 outside svcs"/>
      <sheetName val="Div 12 outside svcs"/>
      <sheetName val="Div 9"/>
      <sheetName val="FF7FDFC85B524710987AB223481D523"/>
      <sheetName val="Div 91"/>
      <sheetName val="Div 2"/>
      <sheetName val="Div 12"/>
      <sheetName val="C0131B3DA4A74E9D8A9855EB618EDC9"/>
      <sheetName val="acct 4264"/>
    </sheetNames>
    <sheetDataSet>
      <sheetData sheetId="0">
        <row r="10">
          <cell r="P10">
            <v>2962.1859884588271</v>
          </cell>
        </row>
        <row r="20">
          <cell r="P20">
            <v>32916.762107525225</v>
          </cell>
        </row>
        <row r="26">
          <cell r="P26">
            <v>316991.9135356411</v>
          </cell>
        </row>
        <row r="34">
          <cell r="P34">
            <v>15700.460335098405</v>
          </cell>
        </row>
        <row r="43">
          <cell r="P43">
            <v>95819.997570249965</v>
          </cell>
        </row>
        <row r="49">
          <cell r="P49">
            <v>2343.3900000000003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8">
          <cell r="Q98">
            <v>49382.03</v>
          </cell>
        </row>
        <row r="99">
          <cell r="Q99">
            <v>-4245.2990000000009</v>
          </cell>
        </row>
        <row r="100">
          <cell r="Q100">
            <v>521447.54670000012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_1-59_Att31 - PLR Reg Asse"/>
    </sheetNames>
    <sheetDataSet>
      <sheetData sheetId="0">
        <row r="13">
          <cell r="M13">
            <v>33033.29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"/>
      <sheetName val="2013 Rate Case Expenses"/>
    </sheetNames>
    <sheetDataSet>
      <sheetData sheetId="0">
        <row r="15">
          <cell r="D15">
            <v>37496</v>
          </cell>
        </row>
        <row r="16">
          <cell r="D16">
            <v>36425.32</v>
          </cell>
        </row>
        <row r="17">
          <cell r="D17">
            <v>55199.759999999995</v>
          </cell>
        </row>
        <row r="21">
          <cell r="E21">
            <v>246897.26</v>
          </cell>
        </row>
        <row r="24">
          <cell r="E24">
            <v>29565.110000000004</v>
          </cell>
        </row>
        <row r="27">
          <cell r="E27">
            <v>63326.12000000001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09 Summary "/>
    </sheetNames>
    <sheetDataSet>
      <sheetData sheetId="0">
        <row r="19">
          <cell r="A19">
            <v>14795.2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ivision 091 Summary "/>
    </sheetNames>
    <sheetDataSet>
      <sheetData sheetId="0">
        <row r="19">
          <cell r="D19">
            <v>33601.629999999997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XP 002 Mar-Aug'15"/>
      <sheetName val="Management Committee"/>
    </sheetNames>
    <sheetDataSet>
      <sheetData sheetId="0">
        <row r="6148">
          <cell r="Y6148">
            <v>135053.4760455206</v>
          </cell>
        </row>
      </sheetData>
      <sheetData sheetId="1">
        <row r="405">
          <cell r="Y405">
            <v>3773.9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XP 012 Mar-Aug'15"/>
    </sheetNames>
    <sheetDataSet>
      <sheetData sheetId="0">
        <row r="4104">
          <cell r="Y4104">
            <v>74680.230862598677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9 Schedule"/>
      <sheetName val="Rent Adjustment"/>
    </sheetNames>
    <sheetDataSet>
      <sheetData sheetId="0"/>
      <sheetData sheetId="1">
        <row r="3">
          <cell r="M3">
            <v>0.27785912795156242</v>
          </cell>
        </row>
        <row r="5">
          <cell r="M5">
            <v>0.39090000000000003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's Summary"/>
      <sheetName val="Worker's Comp from PlanIt"/>
    </sheetNames>
    <sheetDataSet>
      <sheetData sheetId="0">
        <row r="68">
          <cell r="K68">
            <v>5.3628103209498137E-2</v>
          </cell>
        </row>
        <row r="76">
          <cell r="K76">
            <v>0.19919443185698368</v>
          </cell>
        </row>
        <row r="77">
          <cell r="K77">
            <v>4.1424994185931908E-2</v>
          </cell>
        </row>
        <row r="78">
          <cell r="K78">
            <v>8.7996697417042524E-2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Staff_1-59_Att7 - div 9 labor a"/>
    </sheetNames>
    <sheetDataSet>
      <sheetData sheetId="0">
        <row r="35">
          <cell r="B35">
            <v>0.42227477880123931</v>
          </cell>
        </row>
        <row r="43">
          <cell r="B43">
            <v>0.4087113340725208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 Plant"/>
      <sheetName val="Reserve"/>
      <sheetName val="Net Plant"/>
      <sheetName val="Capital Spending"/>
      <sheetName val="2016 Capital Budget"/>
    </sheetNames>
    <sheetDataSet>
      <sheetData sheetId="0">
        <row r="7">
          <cell r="C7">
            <v>2140299.4738317207</v>
          </cell>
          <cell r="D7">
            <v>2328248.7189121102</v>
          </cell>
          <cell r="Q7">
            <v>2230560.7470594803</v>
          </cell>
          <cell r="AF7">
            <v>2406158.4247643272</v>
          </cell>
        </row>
        <row r="8">
          <cell r="C8">
            <v>9199400.5100000016</v>
          </cell>
          <cell r="D8">
            <v>9199400.5100000016</v>
          </cell>
          <cell r="Q8">
            <v>9199400.5099999998</v>
          </cell>
          <cell r="AF8">
            <v>9199400.5099999998</v>
          </cell>
        </row>
        <row r="9">
          <cell r="C9">
            <v>9045765.3137565684</v>
          </cell>
          <cell r="D9">
            <v>9655510.3041819111</v>
          </cell>
          <cell r="Q9">
            <v>9329120.8581342082</v>
          </cell>
          <cell r="AF9">
            <v>9915817.7427804563</v>
          </cell>
        </row>
        <row r="10">
          <cell r="C10">
            <v>10741092.328815894</v>
          </cell>
          <cell r="D10">
            <v>11222845.811255045</v>
          </cell>
          <cell r="Q10">
            <v>10950155.967517382</v>
          </cell>
          <cell r="AF10">
            <v>11440325.866491925</v>
          </cell>
        </row>
        <row r="11">
          <cell r="C11">
            <v>0</v>
          </cell>
          <cell r="D11">
            <v>0</v>
          </cell>
          <cell r="Q11">
            <v>0</v>
          </cell>
          <cell r="AF11">
            <v>0</v>
          </cell>
        </row>
        <row r="12">
          <cell r="C12">
            <v>0</v>
          </cell>
          <cell r="D12">
            <v>0</v>
          </cell>
          <cell r="Q12">
            <v>0</v>
          </cell>
          <cell r="AF12">
            <v>0</v>
          </cell>
        </row>
        <row r="13">
          <cell r="C13">
            <v>63740.849999999984</v>
          </cell>
          <cell r="D13">
            <v>63740.849999999984</v>
          </cell>
          <cell r="Q13">
            <v>63740.85</v>
          </cell>
          <cell r="AF13">
            <v>63740.85</v>
          </cell>
        </row>
        <row r="14">
          <cell r="C14">
            <v>103415.62999999999</v>
          </cell>
          <cell r="D14">
            <v>103415.62999999999</v>
          </cell>
          <cell r="Q14">
            <v>103415.63</v>
          </cell>
          <cell r="AF14">
            <v>103415.63</v>
          </cell>
        </row>
        <row r="15">
          <cell r="C15">
            <v>0</v>
          </cell>
          <cell r="D15">
            <v>0</v>
          </cell>
          <cell r="Q15">
            <v>0</v>
          </cell>
          <cell r="AF15">
            <v>0</v>
          </cell>
        </row>
        <row r="16">
          <cell r="C16">
            <v>562258.4366982003</v>
          </cell>
          <cell r="D16">
            <v>1601538.3518460728</v>
          </cell>
          <cell r="Q16">
            <v>1049336.8564099839</v>
          </cell>
          <cell r="AF16">
            <v>2041939.1019556366</v>
          </cell>
        </row>
        <row r="17">
          <cell r="C17">
            <v>23632.070000000003</v>
          </cell>
          <cell r="D17">
            <v>23632.070000000003</v>
          </cell>
          <cell r="Q17">
            <v>23632.07</v>
          </cell>
          <cell r="AF17">
            <v>23632.07</v>
          </cell>
        </row>
        <row r="18">
          <cell r="C18">
            <v>2462183.1836521951</v>
          </cell>
          <cell r="D18">
            <v>2546563.8993940298</v>
          </cell>
          <cell r="Q18">
            <v>2495926.1015874753</v>
          </cell>
          <cell r="AF18">
            <v>2586949.3824508828</v>
          </cell>
        </row>
        <row r="19">
          <cell r="C19">
            <v>494198.30434448115</v>
          </cell>
          <cell r="D19">
            <v>549943.61539446609</v>
          </cell>
          <cell r="Q19">
            <v>521026.23296276445</v>
          </cell>
          <cell r="AF19">
            <v>573006.27824377455</v>
          </cell>
        </row>
        <row r="20">
          <cell r="C20">
            <v>168103.30000000002</v>
          </cell>
          <cell r="D20">
            <v>168103.30000000002</v>
          </cell>
          <cell r="Q20">
            <v>168103.3</v>
          </cell>
          <cell r="AF20">
            <v>168103.3</v>
          </cell>
        </row>
        <row r="21">
          <cell r="C21">
            <v>33700826.620460212</v>
          </cell>
          <cell r="D21">
            <v>31428353.89844358</v>
          </cell>
          <cell r="Q21">
            <v>30909579.954134185</v>
          </cell>
          <cell r="AF21">
            <v>31842094.962347671</v>
          </cell>
        </row>
        <row r="22">
          <cell r="C22">
            <v>17259544.894479014</v>
          </cell>
          <cell r="D22">
            <v>19267874.059563026</v>
          </cell>
          <cell r="Q22">
            <v>18166047.586874023</v>
          </cell>
          <cell r="AF22">
            <v>20146620.69294475</v>
          </cell>
        </row>
        <row r="23">
          <cell r="C23">
            <v>3276745.7011825535</v>
          </cell>
          <cell r="D23">
            <v>3397429.4784985431</v>
          </cell>
          <cell r="Q23">
            <v>3330569.4434632468</v>
          </cell>
          <cell r="AF23">
            <v>3450752.7849822449</v>
          </cell>
        </row>
        <row r="24">
          <cell r="C24">
            <v>0</v>
          </cell>
          <cell r="D24">
            <v>0</v>
          </cell>
          <cell r="Q24">
            <v>0</v>
          </cell>
          <cell r="AF24">
            <v>0</v>
          </cell>
        </row>
        <row r="25">
          <cell r="C25">
            <v>0</v>
          </cell>
          <cell r="D25">
            <v>0</v>
          </cell>
          <cell r="Q25">
            <v>0</v>
          </cell>
          <cell r="AF25">
            <v>0</v>
          </cell>
        </row>
        <row r="26">
          <cell r="C26">
            <v>2091363.2078301439</v>
          </cell>
          <cell r="D26">
            <v>2281438.9401675756</v>
          </cell>
          <cell r="Q26">
            <v>1989498.9341145784</v>
          </cell>
          <cell r="AF26">
            <v>2514271.6990705458</v>
          </cell>
        </row>
        <row r="27">
          <cell r="C27">
            <v>812062.24132178293</v>
          </cell>
          <cell r="D27">
            <v>686169.30568836792</v>
          </cell>
          <cell r="Q27">
            <v>686152.06007096497</v>
          </cell>
          <cell r="AF27">
            <v>686183.05969465547</v>
          </cell>
        </row>
        <row r="28">
          <cell r="C28">
            <v>102519988.00516573</v>
          </cell>
          <cell r="D28">
            <v>122329769.43742448</v>
          </cell>
          <cell r="Q28">
            <v>111795225.84767172</v>
          </cell>
          <cell r="AF28">
            <v>130731450.59427312</v>
          </cell>
        </row>
        <row r="29">
          <cell r="C29">
            <v>993258.83153846127</v>
          </cell>
          <cell r="D29">
            <v>982650.36999999976</v>
          </cell>
          <cell r="Q29">
            <v>982650.37</v>
          </cell>
          <cell r="AF29">
            <v>982650.37</v>
          </cell>
        </row>
        <row r="30">
          <cell r="C30"/>
          <cell r="D30"/>
        </row>
        <row r="36">
          <cell r="C36">
            <v>2874239.86</v>
          </cell>
          <cell r="D36">
            <v>2874239.86</v>
          </cell>
          <cell r="Q36">
            <v>2874239.86</v>
          </cell>
          <cell r="AF36">
            <v>2874239.86</v>
          </cell>
        </row>
        <row r="37">
          <cell r="C37">
            <v>1887122.8799999992</v>
          </cell>
          <cell r="D37">
            <v>1887122.8799999992</v>
          </cell>
          <cell r="Q37">
            <v>1887122.88</v>
          </cell>
          <cell r="AF37">
            <v>1887122.88</v>
          </cell>
        </row>
        <row r="38">
          <cell r="C38">
            <v>12655903.850146595</v>
          </cell>
          <cell r="D38">
            <v>12687449.523639288</v>
          </cell>
          <cell r="Q38">
            <v>12671348.190331779</v>
          </cell>
          <cell r="AF38">
            <v>12698439.4690757</v>
          </cell>
        </row>
        <row r="39">
          <cell r="C39">
            <v>4298434.3299999991</v>
          </cell>
          <cell r="D39">
            <v>4298434.3299999991</v>
          </cell>
          <cell r="Q39">
            <v>4298434.33</v>
          </cell>
          <cell r="AF39">
            <v>4298434.33</v>
          </cell>
        </row>
        <row r="40">
          <cell r="C40">
            <v>10419806.710000005</v>
          </cell>
          <cell r="D40">
            <v>10419806.710000005</v>
          </cell>
          <cell r="Q40">
            <v>10419806.710000001</v>
          </cell>
          <cell r="AF40">
            <v>10419806.710000001</v>
          </cell>
        </row>
        <row r="41">
          <cell r="C41">
            <v>2324275.4841529219</v>
          </cell>
          <cell r="D41">
            <v>2297631.7918512486</v>
          </cell>
          <cell r="Q41">
            <v>2310944.0635525053</v>
          </cell>
          <cell r="AF41">
            <v>2288545.5170168928</v>
          </cell>
        </row>
        <row r="42">
          <cell r="C42">
            <v>129.29248672776018</v>
          </cell>
          <cell r="D42">
            <v>-9954.8540198717383</v>
          </cell>
          <cell r="Q42">
            <v>-4687.9143965532148</v>
          </cell>
          <cell r="AF42">
            <v>-13549.797244243517</v>
          </cell>
        </row>
        <row r="43">
          <cell r="C43">
            <v>1962784.8099999998</v>
          </cell>
          <cell r="D43">
            <v>1962784.8099999998</v>
          </cell>
          <cell r="Q43">
            <v>1962784.81</v>
          </cell>
          <cell r="AF43">
            <v>1962784.81</v>
          </cell>
        </row>
        <row r="44">
          <cell r="C44">
            <v>271621.21999999986</v>
          </cell>
          <cell r="D44">
            <v>271621.21999999986</v>
          </cell>
          <cell r="Q44">
            <v>271621.21999999997</v>
          </cell>
          <cell r="AF44">
            <v>271621.21999999997</v>
          </cell>
        </row>
        <row r="45">
          <cell r="C45">
            <v>38369.801245354553</v>
          </cell>
          <cell r="D45">
            <v>60843.243716844969</v>
          </cell>
          <cell r="Q45">
            <v>48730.446844649254</v>
          </cell>
          <cell r="AF45">
            <v>69110.818467674471</v>
          </cell>
        </row>
        <row r="46">
          <cell r="C46">
            <v>629166.46</v>
          </cell>
          <cell r="D46">
            <v>629166.46</v>
          </cell>
          <cell r="Q46">
            <v>629166.46</v>
          </cell>
          <cell r="AF46">
            <v>629166.46</v>
          </cell>
        </row>
        <row r="47">
          <cell r="C47">
            <v>8016720.2389061321</v>
          </cell>
          <cell r="D47">
            <v>8208828.9182867846</v>
          </cell>
          <cell r="Q47">
            <v>8102040.5359647218</v>
          </cell>
          <cell r="AF47">
            <v>8281717.1985645117</v>
          </cell>
        </row>
        <row r="48">
          <cell r="C48">
            <v>1801458.9277957417</v>
          </cell>
          <cell r="D48">
            <v>1835797.7467441035</v>
          </cell>
          <cell r="Q48">
            <v>1817193.8354249417</v>
          </cell>
          <cell r="AF48">
            <v>1848495.8237540489</v>
          </cell>
        </row>
        <row r="49">
          <cell r="C49">
            <v>538871.74265627842</v>
          </cell>
          <cell r="D49">
            <v>631388.4353238733</v>
          </cell>
          <cell r="Q49">
            <v>579901.30309850804</v>
          </cell>
          <cell r="AF49">
            <v>666530.91470913903</v>
          </cell>
        </row>
        <row r="50">
          <cell r="C50">
            <v>955072.6896618444</v>
          </cell>
          <cell r="D50">
            <v>1011478.1306869262</v>
          </cell>
          <cell r="Q50">
            <v>956538.5414673459</v>
          </cell>
          <cell r="AF50">
            <v>1048977.0803882433</v>
          </cell>
        </row>
        <row r="51">
          <cell r="C51">
            <v>305326.56769230764</v>
          </cell>
          <cell r="D51">
            <v>188781.60999999993</v>
          </cell>
          <cell r="Q51">
            <v>188781.61</v>
          </cell>
          <cell r="AF51">
            <v>188781.61</v>
          </cell>
        </row>
        <row r="52">
          <cell r="C52">
            <v>109429530.87140992</v>
          </cell>
          <cell r="D52">
            <v>112589378.73377079</v>
          </cell>
          <cell r="Q52">
            <v>109997918.66771209</v>
          </cell>
          <cell r="AF52">
            <v>114358176.64526801</v>
          </cell>
        </row>
        <row r="53">
          <cell r="C53">
            <v>91992.459999999977</v>
          </cell>
          <cell r="D53">
            <v>91992.459999999977</v>
          </cell>
          <cell r="Q53">
            <v>91992.46</v>
          </cell>
          <cell r="AF53">
            <v>91992.46</v>
          </cell>
        </row>
        <row r="54">
          <cell r="C54">
            <v>194015.41</v>
          </cell>
          <cell r="D54">
            <v>194015.41</v>
          </cell>
          <cell r="Q54">
            <v>194015.41</v>
          </cell>
          <cell r="AF54">
            <v>194015.41</v>
          </cell>
        </row>
        <row r="55">
          <cell r="C55">
            <v>90540.560000000027</v>
          </cell>
          <cell r="D55">
            <v>90540.560000000027</v>
          </cell>
          <cell r="Q55">
            <v>90540.56</v>
          </cell>
          <cell r="AF55">
            <v>90540.56</v>
          </cell>
        </row>
        <row r="61">
          <cell r="C61">
            <v>185309.27</v>
          </cell>
          <cell r="D61">
            <v>185309.27</v>
          </cell>
          <cell r="Q61">
            <v>185309.27</v>
          </cell>
          <cell r="AF61">
            <v>185309.27</v>
          </cell>
        </row>
        <row r="62">
          <cell r="C62">
            <v>1109551.68</v>
          </cell>
          <cell r="D62">
            <v>1109551.68</v>
          </cell>
          <cell r="Q62">
            <v>1109551.68</v>
          </cell>
          <cell r="AF62">
            <v>1109551.68</v>
          </cell>
        </row>
        <row r="63">
          <cell r="C63">
            <v>179338.52</v>
          </cell>
          <cell r="D63">
            <v>179338.52</v>
          </cell>
          <cell r="Q63">
            <v>179338.52</v>
          </cell>
          <cell r="AF63">
            <v>179338.52</v>
          </cell>
        </row>
        <row r="64">
          <cell r="C64">
            <v>5771</v>
          </cell>
          <cell r="D64">
            <v>5771</v>
          </cell>
          <cell r="Q64">
            <v>5771</v>
          </cell>
          <cell r="AF64">
            <v>5771</v>
          </cell>
        </row>
        <row r="65">
          <cell r="C65">
            <v>38834</v>
          </cell>
          <cell r="D65">
            <v>154218.61538461538</v>
          </cell>
          <cell r="Q65">
            <v>38834</v>
          </cell>
          <cell r="AF65">
            <v>188834</v>
          </cell>
        </row>
        <row r="66">
          <cell r="C66">
            <v>41632.498461538467</v>
          </cell>
          <cell r="D66">
            <v>42652.820000000014</v>
          </cell>
          <cell r="Q66">
            <v>42652.820000000007</v>
          </cell>
          <cell r="AF66">
            <v>42652.820000000007</v>
          </cell>
        </row>
        <row r="67">
          <cell r="C67">
            <v>4109.6900000000005</v>
          </cell>
          <cell r="D67">
            <v>4109.6900000000005</v>
          </cell>
          <cell r="Q67">
            <v>4109.6899999999996</v>
          </cell>
          <cell r="AF67">
            <v>4109.6899999999996</v>
          </cell>
        </row>
        <row r="68">
          <cell r="C68">
            <v>163665.77999999997</v>
          </cell>
          <cell r="D68">
            <v>163707.46</v>
          </cell>
          <cell r="Q68">
            <v>163707.46</v>
          </cell>
          <cell r="AF68">
            <v>163707.46</v>
          </cell>
        </row>
        <row r="69">
          <cell r="C69">
            <v>13651.653076923081</v>
          </cell>
          <cell r="D69">
            <v>11037.170000000002</v>
          </cell>
          <cell r="Q69">
            <v>11037.170000000002</v>
          </cell>
          <cell r="AF69">
            <v>11037.170000000002</v>
          </cell>
        </row>
        <row r="70">
          <cell r="C70">
            <v>225613.58000000005</v>
          </cell>
          <cell r="D70">
            <v>225613.58000000005</v>
          </cell>
          <cell r="Q70">
            <v>225613.58</v>
          </cell>
          <cell r="AF70">
            <v>225613.58</v>
          </cell>
        </row>
        <row r="71">
          <cell r="C71">
            <v>843986.64153846144</v>
          </cell>
          <cell r="D71">
            <v>882228.17999999982</v>
          </cell>
          <cell r="Q71">
            <v>882228.18</v>
          </cell>
          <cell r="AF71">
            <v>882228.18</v>
          </cell>
        </row>
        <row r="72">
          <cell r="C72">
            <v>76993.219999999987</v>
          </cell>
          <cell r="D72">
            <v>76993.219999999987</v>
          </cell>
          <cell r="Q72">
            <v>76993.22</v>
          </cell>
          <cell r="AF72">
            <v>76993.22</v>
          </cell>
        </row>
        <row r="73">
          <cell r="C73">
            <v>344193.54</v>
          </cell>
          <cell r="D73">
            <v>344193.54</v>
          </cell>
          <cell r="Q73">
            <v>344193.54</v>
          </cell>
          <cell r="AF73">
            <v>344193.54</v>
          </cell>
        </row>
        <row r="74">
          <cell r="C74">
            <v>8273.14</v>
          </cell>
          <cell r="D74">
            <v>8273.14</v>
          </cell>
          <cell r="Q74">
            <v>8273.14</v>
          </cell>
          <cell r="AF74">
            <v>8273.14</v>
          </cell>
        </row>
        <row r="75">
          <cell r="C75">
            <v>209357.66</v>
          </cell>
          <cell r="D75">
            <v>209357.66</v>
          </cell>
          <cell r="Q75">
            <v>209357.66</v>
          </cell>
          <cell r="AF75">
            <v>209357.66</v>
          </cell>
        </row>
        <row r="76">
          <cell r="C76">
            <v>325508.83076923073</v>
          </cell>
          <cell r="D76">
            <v>325080.33999999997</v>
          </cell>
          <cell r="Q76">
            <v>325080.34000000003</v>
          </cell>
          <cell r="AF76">
            <v>325080.34000000003</v>
          </cell>
        </row>
        <row r="77">
          <cell r="C77">
            <v>74880.070000000036</v>
          </cell>
          <cell r="D77">
            <v>74880.070000000036</v>
          </cell>
          <cell r="Q77">
            <v>74880.070000000007</v>
          </cell>
          <cell r="AF77">
            <v>74880.070000000007</v>
          </cell>
        </row>
        <row r="78">
          <cell r="C78">
            <v>898421.87230769242</v>
          </cell>
          <cell r="D78">
            <v>898473.13000000024</v>
          </cell>
          <cell r="Q78">
            <v>898473.13</v>
          </cell>
          <cell r="AF78">
            <v>898473.13</v>
          </cell>
        </row>
        <row r="84">
          <cell r="C84">
            <v>8329.7199999999993</v>
          </cell>
          <cell r="D84">
            <v>8329.7199999999993</v>
          </cell>
          <cell r="Q84">
            <v>8329.7199999999993</v>
          </cell>
          <cell r="AF84">
            <v>8329.7199999999993</v>
          </cell>
        </row>
        <row r="85">
          <cell r="C85">
            <v>119852.68999999996</v>
          </cell>
          <cell r="D85">
            <v>119852.68999999996</v>
          </cell>
          <cell r="Q85">
            <v>119852.69</v>
          </cell>
          <cell r="AF85">
            <v>119852.69</v>
          </cell>
        </row>
        <row r="86">
          <cell r="C86">
            <v>0</v>
          </cell>
          <cell r="D86">
            <v>0</v>
          </cell>
          <cell r="Q86">
            <v>0</v>
          </cell>
          <cell r="AF86">
            <v>0</v>
          </cell>
        </row>
        <row r="87">
          <cell r="C87">
            <v>0</v>
          </cell>
          <cell r="D87">
            <v>0</v>
          </cell>
          <cell r="Q87">
            <v>0</v>
          </cell>
          <cell r="AF87">
            <v>0</v>
          </cell>
        </row>
        <row r="88">
          <cell r="C88">
            <v>0</v>
          </cell>
          <cell r="D88">
            <v>0</v>
          </cell>
          <cell r="Q88">
            <v>0</v>
          </cell>
          <cell r="AF88">
            <v>0</v>
          </cell>
        </row>
        <row r="89">
          <cell r="C89">
            <v>261126.68999999997</v>
          </cell>
          <cell r="D89">
            <v>261126.68999999997</v>
          </cell>
          <cell r="Q89">
            <v>261126.69</v>
          </cell>
          <cell r="AF89">
            <v>261126.69</v>
          </cell>
        </row>
        <row r="90">
          <cell r="C90">
            <v>4681.5800000000008</v>
          </cell>
          <cell r="D90">
            <v>4681.5800000000008</v>
          </cell>
          <cell r="Q90">
            <v>4681.58</v>
          </cell>
          <cell r="AF90">
            <v>4681.58</v>
          </cell>
        </row>
        <row r="91">
          <cell r="C91">
            <v>17916.189999999999</v>
          </cell>
          <cell r="D91">
            <v>17916.189999999999</v>
          </cell>
          <cell r="Q91">
            <v>17916.189999999999</v>
          </cell>
          <cell r="AF91">
            <v>17916.189999999999</v>
          </cell>
        </row>
        <row r="92">
          <cell r="C92">
            <v>153261.30000000002</v>
          </cell>
          <cell r="D92">
            <v>153261.30000000002</v>
          </cell>
          <cell r="Q92">
            <v>153261.29999999999</v>
          </cell>
          <cell r="AF92">
            <v>153261.29999999999</v>
          </cell>
        </row>
        <row r="93">
          <cell r="C93">
            <v>23138.38</v>
          </cell>
          <cell r="D93">
            <v>23138.38</v>
          </cell>
          <cell r="Q93">
            <v>23138.38</v>
          </cell>
          <cell r="AF93">
            <v>23138.38</v>
          </cell>
        </row>
        <row r="94">
          <cell r="C94">
            <v>137442.53</v>
          </cell>
          <cell r="D94">
            <v>137442.53</v>
          </cell>
          <cell r="Q94">
            <v>137442.53</v>
          </cell>
          <cell r="AF94">
            <v>137442.53</v>
          </cell>
        </row>
        <row r="95">
          <cell r="C95">
            <v>6629572.2265448561</v>
          </cell>
          <cell r="D95">
            <v>9095522.2800091319</v>
          </cell>
          <cell r="Q95">
            <v>7774826.5393562289</v>
          </cell>
          <cell r="AF95">
            <v>9725538.9778538048</v>
          </cell>
        </row>
        <row r="96">
          <cell r="C96">
            <v>1699998.5399999993</v>
          </cell>
          <cell r="D96">
            <v>1699998.5399999993</v>
          </cell>
          <cell r="Q96">
            <v>1699998.54</v>
          </cell>
          <cell r="AF96">
            <v>1699998.54</v>
          </cell>
        </row>
        <row r="97">
          <cell r="C97">
            <v>419941.03538461548</v>
          </cell>
          <cell r="D97">
            <v>415818.86</v>
          </cell>
          <cell r="Q97">
            <v>415818.86</v>
          </cell>
          <cell r="AF97">
            <v>415818.86</v>
          </cell>
        </row>
        <row r="98">
          <cell r="C98">
            <v>1694832.9600000007</v>
          </cell>
          <cell r="D98">
            <v>1694832.9600000007</v>
          </cell>
          <cell r="Q98">
            <v>1694832.96</v>
          </cell>
          <cell r="AF98">
            <v>1694832.96</v>
          </cell>
        </row>
        <row r="99">
          <cell r="C99">
            <v>178530.09000000003</v>
          </cell>
          <cell r="D99">
            <v>178530.09000000003</v>
          </cell>
          <cell r="Q99">
            <v>178530.09</v>
          </cell>
          <cell r="AF99">
            <v>178530.09</v>
          </cell>
        </row>
        <row r="100">
          <cell r="C100">
            <v>54614.270000000011</v>
          </cell>
          <cell r="D100">
            <v>54614.270000000011</v>
          </cell>
          <cell r="Q100">
            <v>54614.27</v>
          </cell>
          <cell r="AF100">
            <v>54614.27</v>
          </cell>
        </row>
        <row r="101">
          <cell r="C101">
            <v>178496.89999999994</v>
          </cell>
          <cell r="D101">
            <v>178496.89999999994</v>
          </cell>
          <cell r="Q101">
            <v>178496.9</v>
          </cell>
          <cell r="AF101">
            <v>178496.9</v>
          </cell>
        </row>
        <row r="102">
          <cell r="C102">
            <v>209458.21</v>
          </cell>
          <cell r="D102">
            <v>209458.21</v>
          </cell>
          <cell r="Q102">
            <v>209458.21</v>
          </cell>
          <cell r="AF102">
            <v>209458.21</v>
          </cell>
        </row>
        <row r="103">
          <cell r="C103">
            <v>923446.05000000016</v>
          </cell>
          <cell r="D103">
            <v>923446.05000000016</v>
          </cell>
          <cell r="Q103">
            <v>923446.05</v>
          </cell>
          <cell r="AF103">
            <v>923446.05</v>
          </cell>
        </row>
        <row r="104">
          <cell r="C104">
            <v>240883.02999999994</v>
          </cell>
          <cell r="D104">
            <v>240883.02999999994</v>
          </cell>
          <cell r="Q104">
            <v>240883.03</v>
          </cell>
          <cell r="AF104">
            <v>240883.03</v>
          </cell>
        </row>
        <row r="105">
          <cell r="C105">
            <v>414663.45000000013</v>
          </cell>
          <cell r="D105">
            <v>414663.45000000013</v>
          </cell>
          <cell r="Q105">
            <v>414663.45</v>
          </cell>
          <cell r="AF105">
            <v>414663.45</v>
          </cell>
        </row>
        <row r="106">
          <cell r="C106">
            <v>26970.37</v>
          </cell>
          <cell r="D106">
            <v>26970.37</v>
          </cell>
          <cell r="Q106">
            <v>26970.37</v>
          </cell>
          <cell r="AF106">
            <v>26970.37</v>
          </cell>
        </row>
        <row r="107">
          <cell r="C107">
            <v>867772</v>
          </cell>
          <cell r="D107">
            <v>867772</v>
          </cell>
          <cell r="Q107">
            <v>867772</v>
          </cell>
          <cell r="AF107">
            <v>867772</v>
          </cell>
        </row>
        <row r="108">
          <cell r="C108">
            <v>49001.719999999987</v>
          </cell>
          <cell r="D108">
            <v>49001.719999999987</v>
          </cell>
          <cell r="Q108">
            <v>49001.72</v>
          </cell>
          <cell r="AF108">
            <v>49001.72</v>
          </cell>
        </row>
        <row r="109">
          <cell r="C109">
            <v>60826.290000000008</v>
          </cell>
          <cell r="D109">
            <v>60826.290000000008</v>
          </cell>
          <cell r="Q109">
            <v>60826.29</v>
          </cell>
          <cell r="AF109">
            <v>60826.29</v>
          </cell>
        </row>
        <row r="110">
          <cell r="C110">
            <v>185508.8</v>
          </cell>
          <cell r="D110">
            <v>185508.8</v>
          </cell>
          <cell r="Q110">
            <v>185508.8</v>
          </cell>
          <cell r="AF110">
            <v>185508.8</v>
          </cell>
        </row>
        <row r="111">
          <cell r="C111">
            <v>27762017.089999992</v>
          </cell>
          <cell r="D111">
            <v>27762017.089999992</v>
          </cell>
          <cell r="Q111">
            <v>27762017.09</v>
          </cell>
          <cell r="AF111">
            <v>27762017.09</v>
          </cell>
        </row>
        <row r="112">
          <cell r="C112">
            <v>615021.88</v>
          </cell>
          <cell r="D112">
            <v>615021.88</v>
          </cell>
          <cell r="Q112">
            <v>615021.88</v>
          </cell>
          <cell r="AF112">
            <v>615021.88</v>
          </cell>
        </row>
        <row r="113">
          <cell r="C113">
            <v>2269871.41</v>
          </cell>
          <cell r="D113">
            <v>2269871.41</v>
          </cell>
          <cell r="Q113">
            <v>2269871.41</v>
          </cell>
          <cell r="AF113">
            <v>2269871.41</v>
          </cell>
        </row>
        <row r="114">
          <cell r="C114">
            <v>531166.79</v>
          </cell>
          <cell r="D114">
            <v>531166.79</v>
          </cell>
          <cell r="Q114">
            <v>531166.79</v>
          </cell>
          <cell r="AF114">
            <v>531166.79</v>
          </cell>
        </row>
        <row r="115">
          <cell r="C115">
            <v>37326.419999999991</v>
          </cell>
          <cell r="D115">
            <v>37326.419999999991</v>
          </cell>
          <cell r="Q115">
            <v>37326.42</v>
          </cell>
          <cell r="AF115">
            <v>37326.42</v>
          </cell>
        </row>
        <row r="116">
          <cell r="C116">
            <v>1491896.4989431852</v>
          </cell>
          <cell r="D116">
            <v>1508932.1306592142</v>
          </cell>
          <cell r="Q116">
            <v>1499591.2999439908</v>
          </cell>
          <cell r="AF116">
            <v>1513388.0239745222</v>
          </cell>
        </row>
        <row r="117">
          <cell r="C117">
            <v>2783.89</v>
          </cell>
          <cell r="D117">
            <v>2783.89</v>
          </cell>
          <cell r="Q117">
            <v>2783.89</v>
          </cell>
          <cell r="AF117">
            <v>2783.89</v>
          </cell>
        </row>
        <row r="118">
          <cell r="C118">
            <v>336167.54</v>
          </cell>
          <cell r="D118">
            <v>336167.54</v>
          </cell>
          <cell r="Q118">
            <v>336167.54</v>
          </cell>
          <cell r="AF118">
            <v>336167.54</v>
          </cell>
        </row>
        <row r="119">
          <cell r="C119">
            <v>99818.12999999999</v>
          </cell>
          <cell r="D119">
            <v>99818.12999999999</v>
          </cell>
          <cell r="Q119">
            <v>99818.13</v>
          </cell>
          <cell r="AF119">
            <v>99818.13</v>
          </cell>
        </row>
        <row r="120">
          <cell r="C120">
            <v>46264.189999999995</v>
          </cell>
          <cell r="D120">
            <v>46264.189999999995</v>
          </cell>
          <cell r="Q120">
            <v>46264.19</v>
          </cell>
          <cell r="AF120">
            <v>46264.19</v>
          </cell>
        </row>
        <row r="121">
          <cell r="C121">
            <v>4005.0800000000013</v>
          </cell>
          <cell r="D121">
            <v>4005.0800000000013</v>
          </cell>
          <cell r="Q121">
            <v>4005.08</v>
          </cell>
          <cell r="AF121">
            <v>4005.08</v>
          </cell>
        </row>
        <row r="122">
          <cell r="C122">
            <v>20688258.829302907</v>
          </cell>
          <cell r="D122">
            <v>20008047.633832872</v>
          </cell>
          <cell r="Q122">
            <v>20373422.796801124</v>
          </cell>
          <cell r="AF122">
            <v>19833751.278842039</v>
          </cell>
        </row>
        <row r="123">
          <cell r="C123">
            <v>99902993.879357651</v>
          </cell>
          <cell r="D123">
            <v>112357720.54772933</v>
          </cell>
          <cell r="Q123">
            <v>105603258.34590217</v>
          </cell>
          <cell r="AF123">
            <v>115579828.29073457</v>
          </cell>
        </row>
        <row r="124">
          <cell r="C124">
            <v>73282774.581818685</v>
          </cell>
          <cell r="D124">
            <v>97163196.540185437</v>
          </cell>
          <cell r="Q124">
            <v>83638708.033722177</v>
          </cell>
          <cell r="AF124">
            <v>103614836.63154207</v>
          </cell>
        </row>
        <row r="125">
          <cell r="C125">
            <v>6546839.3733374476</v>
          </cell>
          <cell r="D125">
            <v>7462836.8265099321</v>
          </cell>
          <cell r="Q125">
            <v>6962214.6654716767</v>
          </cell>
          <cell r="AF125">
            <v>7701650.5903896168</v>
          </cell>
        </row>
        <row r="126">
          <cell r="C126">
            <v>2836568.7210598411</v>
          </cell>
          <cell r="D126">
            <v>3151874.9211629597</v>
          </cell>
          <cell r="Q126">
            <v>2977136.3315375461</v>
          </cell>
          <cell r="AF126">
            <v>3235231.1597220493</v>
          </cell>
        </row>
        <row r="127">
          <cell r="C127">
            <v>1393820.6099999999</v>
          </cell>
          <cell r="D127">
            <v>1393820.6099999999</v>
          </cell>
          <cell r="Q127">
            <v>1393820.61</v>
          </cell>
          <cell r="AF127">
            <v>1393820.61</v>
          </cell>
        </row>
        <row r="128">
          <cell r="C128">
            <v>107137690.04601805</v>
          </cell>
          <cell r="D128">
            <v>118202045.19986632</v>
          </cell>
          <cell r="Q128">
            <v>111917612.03268524</v>
          </cell>
          <cell r="AF128">
            <v>121199933.13873078</v>
          </cell>
        </row>
        <row r="129">
          <cell r="C129">
            <v>27090307.961784128</v>
          </cell>
          <cell r="D129">
            <v>34690273.057552174</v>
          </cell>
          <cell r="Q129">
            <v>30216256.075291932</v>
          </cell>
          <cell r="AF129">
            <v>36824531.023638383</v>
          </cell>
        </row>
        <row r="130">
          <cell r="C130">
            <v>50542420.409947395</v>
          </cell>
          <cell r="D130">
            <v>51632550.034519844</v>
          </cell>
          <cell r="Q130">
            <v>51000598.624616176</v>
          </cell>
          <cell r="AF130">
            <v>51934012.307934128</v>
          </cell>
        </row>
        <row r="131">
          <cell r="C131">
            <v>8096146.0317877959</v>
          </cell>
          <cell r="D131">
            <v>8425356.3026922084</v>
          </cell>
          <cell r="Q131">
            <v>8250799.8745375238</v>
          </cell>
          <cell r="AF131">
            <v>8508625.644046491</v>
          </cell>
        </row>
        <row r="132">
          <cell r="C132">
            <v>154276.35999999993</v>
          </cell>
          <cell r="D132">
            <v>154276.35999999993</v>
          </cell>
          <cell r="Q132">
            <v>154276.35999999999</v>
          </cell>
          <cell r="AF132">
            <v>154276.35999999999</v>
          </cell>
        </row>
        <row r="133">
          <cell r="C133">
            <v>5278579.4293536246</v>
          </cell>
          <cell r="D133">
            <v>5433872.7290307675</v>
          </cell>
          <cell r="Q133">
            <v>5345442.1765498584</v>
          </cell>
          <cell r="AF133">
            <v>5476057.1042412603</v>
          </cell>
        </row>
        <row r="134">
          <cell r="C134">
            <v>1027349.6999999998</v>
          </cell>
          <cell r="D134">
            <v>1027349.6999999998</v>
          </cell>
          <cell r="Q134">
            <v>1027349.7</v>
          </cell>
          <cell r="AF134">
            <v>1027349.7</v>
          </cell>
        </row>
        <row r="135">
          <cell r="C135">
            <v>4630146.7259862125</v>
          </cell>
          <cell r="D135">
            <v>5235434.4975332627</v>
          </cell>
          <cell r="Q135">
            <v>4889293.3691388834</v>
          </cell>
          <cell r="AF135">
            <v>5400555.5651543681</v>
          </cell>
        </row>
        <row r="136">
          <cell r="C136">
            <v>173114.85000000003</v>
          </cell>
          <cell r="D136">
            <v>173114.85000000003</v>
          </cell>
          <cell r="Q136">
            <v>173114.85</v>
          </cell>
          <cell r="AF136">
            <v>173114.85</v>
          </cell>
        </row>
        <row r="137">
          <cell r="C137">
            <v>709199.17999999982</v>
          </cell>
          <cell r="D137">
            <v>709199.17999999982</v>
          </cell>
          <cell r="Q137">
            <v>709199.18</v>
          </cell>
          <cell r="AF137">
            <v>709199.18</v>
          </cell>
        </row>
        <row r="138">
          <cell r="C138">
            <v>7461.4900000000007</v>
          </cell>
          <cell r="D138">
            <v>7461.4900000000007</v>
          </cell>
          <cell r="Q138">
            <v>7461.49</v>
          </cell>
          <cell r="AF138">
            <v>7461.49</v>
          </cell>
        </row>
        <row r="139">
          <cell r="C139">
            <v>1246194.18</v>
          </cell>
          <cell r="D139">
            <v>1246194.18</v>
          </cell>
          <cell r="Q139">
            <v>1246194.18</v>
          </cell>
          <cell r="AF139">
            <v>1246194.18</v>
          </cell>
        </row>
        <row r="140">
          <cell r="C140">
            <v>1705903.1863409057</v>
          </cell>
          <cell r="D140">
            <v>1943486.6371535859</v>
          </cell>
          <cell r="Q140">
            <v>1811922.8204937228</v>
          </cell>
          <cell r="AF140">
            <v>2006247.0434882902</v>
          </cell>
        </row>
        <row r="141">
          <cell r="C141">
            <v>367221.64076923084</v>
          </cell>
          <cell r="D141">
            <v>362906.41000000009</v>
          </cell>
          <cell r="Q141">
            <v>362906.41</v>
          </cell>
          <cell r="AF141">
            <v>362906.41</v>
          </cell>
        </row>
        <row r="142">
          <cell r="C142">
            <v>33191.910000000018</v>
          </cell>
          <cell r="D142">
            <v>33191.910000000018</v>
          </cell>
          <cell r="Q142">
            <v>33191.910000000003</v>
          </cell>
          <cell r="AF142">
            <v>33191.910000000003</v>
          </cell>
        </row>
        <row r="143">
          <cell r="C143">
            <v>2094762.8756157053</v>
          </cell>
          <cell r="D143">
            <v>2654268.688659105</v>
          </cell>
          <cell r="Q143">
            <v>2331060.5472186203</v>
          </cell>
          <cell r="AF143">
            <v>2808449.9430683781</v>
          </cell>
        </row>
        <row r="144">
          <cell r="C144">
            <v>49272.406153846154</v>
          </cell>
          <cell r="D144">
            <v>47302.960000000006</v>
          </cell>
          <cell r="Q144">
            <v>47302.960000000006</v>
          </cell>
          <cell r="AF144">
            <v>47302.960000000006</v>
          </cell>
        </row>
        <row r="145">
          <cell r="C145">
            <v>62747.290000000008</v>
          </cell>
          <cell r="D145">
            <v>62747.290000000008</v>
          </cell>
          <cell r="Q145">
            <v>62747.29</v>
          </cell>
          <cell r="AF145">
            <v>62747.29</v>
          </cell>
        </row>
        <row r="146">
          <cell r="C146">
            <v>33235.94</v>
          </cell>
          <cell r="D146">
            <v>33235.94</v>
          </cell>
          <cell r="Q146">
            <v>33235.94</v>
          </cell>
          <cell r="AF146">
            <v>33235.94</v>
          </cell>
        </row>
        <row r="147">
          <cell r="C147">
            <v>350578.89883126348</v>
          </cell>
          <cell r="D147">
            <v>402998.72329263674</v>
          </cell>
          <cell r="Q147">
            <v>374223.52268984349</v>
          </cell>
          <cell r="AF147">
            <v>416725.47072246304</v>
          </cell>
        </row>
        <row r="148">
          <cell r="C148">
            <v>0</v>
          </cell>
          <cell r="D148">
            <v>0</v>
          </cell>
          <cell r="Q148">
            <v>0</v>
          </cell>
          <cell r="AF148">
            <v>0</v>
          </cell>
        </row>
        <row r="149">
          <cell r="C149">
            <v>3783696.2154265521</v>
          </cell>
          <cell r="D149">
            <v>4288652.440645271</v>
          </cell>
          <cell r="Q149">
            <v>4004479.4464024189</v>
          </cell>
          <cell r="AF149">
            <v>4424212.6048364621</v>
          </cell>
        </row>
        <row r="150">
          <cell r="C150">
            <v>94636.820826380601</v>
          </cell>
          <cell r="D150">
            <v>94709.10763737149</v>
          </cell>
          <cell r="Q150">
            <v>94665.026761268644</v>
          </cell>
          <cell r="AF150">
            <v>94730.135711549039</v>
          </cell>
        </row>
        <row r="151">
          <cell r="C151">
            <v>1152457.435096733</v>
          </cell>
          <cell r="D151">
            <v>1646712.9937863885</v>
          </cell>
          <cell r="Q151">
            <v>1363213.4808751661</v>
          </cell>
          <cell r="AF151">
            <v>1781951.8845218152</v>
          </cell>
        </row>
        <row r="152">
          <cell r="C152">
            <v>13751.769999999999</v>
          </cell>
          <cell r="D152">
            <v>13751.769999999999</v>
          </cell>
          <cell r="Q152">
            <v>13751.77</v>
          </cell>
          <cell r="AF152">
            <v>13751.77</v>
          </cell>
        </row>
        <row r="153">
          <cell r="C153">
            <v>123514.83000000002</v>
          </cell>
          <cell r="D153">
            <v>123514.83000000002</v>
          </cell>
          <cell r="Q153">
            <v>123514.83</v>
          </cell>
          <cell r="AF153">
            <v>123514.83</v>
          </cell>
        </row>
        <row r="175">
          <cell r="Q175">
            <v>2198098.25</v>
          </cell>
        </row>
        <row r="179">
          <cell r="C179">
            <v>-222720.82769230765</v>
          </cell>
          <cell r="D179">
            <v>-174493.89999999997</v>
          </cell>
          <cell r="Q179">
            <v>-174493.9</v>
          </cell>
          <cell r="AF179">
            <v>-174493.9</v>
          </cell>
        </row>
        <row r="183">
          <cell r="C183">
            <v>13742968.581538467</v>
          </cell>
          <cell r="D183">
            <v>14123020.170000007</v>
          </cell>
          <cell r="Q183">
            <v>14123020.170000006</v>
          </cell>
          <cell r="AF183">
            <v>14123020.170000006</v>
          </cell>
        </row>
      </sheetData>
      <sheetData sheetId="1">
        <row r="7">
          <cell r="C7">
            <v>251636.65538667177</v>
          </cell>
          <cell r="D7">
            <v>342141.76598517626</v>
          </cell>
          <cell r="Q7">
            <v>288628.61663131107</v>
          </cell>
          <cell r="AF7">
            <v>377671.47431382659</v>
          </cell>
          <cell r="BK7">
            <v>70255.987255329164</v>
          </cell>
        </row>
        <row r="8">
          <cell r="C8">
            <v>3861438.4353699619</v>
          </cell>
          <cell r="D8">
            <v>4280936.5804510014</v>
          </cell>
          <cell r="Q8">
            <v>4065670.6085170005</v>
          </cell>
          <cell r="AF8">
            <v>4419387.5581265027</v>
          </cell>
          <cell r="BK8">
            <v>276901.95535100001</v>
          </cell>
        </row>
        <row r="9">
          <cell r="C9">
            <v>8979793.3467648085</v>
          </cell>
          <cell r="D9">
            <v>9376230.9372882526</v>
          </cell>
          <cell r="Q9">
            <v>9125113.919392867</v>
          </cell>
          <cell r="AF9">
            <v>9534899.1083900295</v>
          </cell>
          <cell r="BK9">
            <v>314437.93366501841</v>
          </cell>
        </row>
        <row r="10">
          <cell r="C10">
            <v>6021582.9994958853</v>
          </cell>
          <cell r="D10">
            <v>6538887.1487144716</v>
          </cell>
          <cell r="Q10">
            <v>6206960.0491403043</v>
          </cell>
          <cell r="AF10">
            <v>6762897.40193009</v>
          </cell>
          <cell r="BK10">
            <v>445069.94758115447</v>
          </cell>
        </row>
        <row r="11">
          <cell r="C11">
            <v>5859.699999999998</v>
          </cell>
          <cell r="D11">
            <v>5859.699999999998</v>
          </cell>
          <cell r="Q11">
            <v>5859.7</v>
          </cell>
          <cell r="AF11">
            <v>5859.7</v>
          </cell>
          <cell r="BK11">
            <v>0</v>
          </cell>
        </row>
        <row r="12">
          <cell r="C12">
            <v>2888.4800000000005</v>
          </cell>
          <cell r="D12">
            <v>2888.4800000000005</v>
          </cell>
          <cell r="Q12">
            <v>2888.48</v>
          </cell>
          <cell r="AF12">
            <v>2888.48</v>
          </cell>
          <cell r="BK12">
            <v>0</v>
          </cell>
        </row>
        <row r="13">
          <cell r="C13">
            <v>10035.993342019228</v>
          </cell>
          <cell r="D13">
            <v>13111.80602125</v>
          </cell>
          <cell r="Q13">
            <v>11207.548127499997</v>
          </cell>
          <cell r="AF13">
            <v>14373.874851250004</v>
          </cell>
          <cell r="BK13">
            <v>2524.1376600000003</v>
          </cell>
        </row>
        <row r="14">
          <cell r="C14">
            <v>83629.911637230776</v>
          </cell>
          <cell r="D14">
            <v>103471.19587769225</v>
          </cell>
          <cell r="Q14">
            <v>95320.453223999983</v>
          </cell>
          <cell r="AF14">
            <v>103526.48346449996</v>
          </cell>
          <cell r="BK14">
            <v>718.73862850000012</v>
          </cell>
        </row>
        <row r="15">
          <cell r="C15">
            <v>757.5100000000001</v>
          </cell>
          <cell r="D15">
            <v>757.5100000000001</v>
          </cell>
          <cell r="Q15">
            <v>757.51</v>
          </cell>
          <cell r="AF15">
            <v>757.51</v>
          </cell>
          <cell r="BK15">
            <v>0</v>
          </cell>
        </row>
        <row r="16">
          <cell r="C16">
            <v>105346.66839951764</v>
          </cell>
          <cell r="D16">
            <v>225442.73207752156</v>
          </cell>
          <cell r="Q16">
            <v>137626.62705636688</v>
          </cell>
          <cell r="AF16">
            <v>300162.41831639275</v>
          </cell>
          <cell r="BK16">
            <v>136810.54097884436</v>
          </cell>
        </row>
        <row r="17">
          <cell r="C17">
            <v>8066.9101730769225</v>
          </cell>
          <cell r="D17">
            <v>11030.6167675</v>
          </cell>
          <cell r="Q17">
            <v>9252.3035</v>
          </cell>
          <cell r="AF17">
            <v>12218.128284999999</v>
          </cell>
          <cell r="BK17">
            <v>2375.0230350000002</v>
          </cell>
        </row>
        <row r="18">
          <cell r="C18">
            <v>1265165.259716209</v>
          </cell>
          <cell r="D18">
            <v>1430512.6825936004</v>
          </cell>
          <cell r="Q18">
            <v>1321634.2949413599</v>
          </cell>
          <cell r="AF18">
            <v>1505492.8885503884</v>
          </cell>
          <cell r="BK18">
            <v>149150.99773317954</v>
          </cell>
        </row>
        <row r="19">
          <cell r="C19">
            <v>118802.21328918682</v>
          </cell>
          <cell r="D19">
            <v>140437.64689661382</v>
          </cell>
          <cell r="Q19">
            <v>123789.86367595215</v>
          </cell>
          <cell r="AF19">
            <v>155238.34882366349</v>
          </cell>
          <cell r="BK19">
            <v>29183.424545880585</v>
          </cell>
        </row>
        <row r="20">
          <cell r="C20">
            <v>111493.98609692302</v>
          </cell>
          <cell r="D20">
            <v>139628.57802999995</v>
          </cell>
          <cell r="Q20">
            <v>122835.05835999997</v>
          </cell>
          <cell r="AF20">
            <v>150605.72351999991</v>
          </cell>
          <cell r="BK20">
            <v>21954.290980000005</v>
          </cell>
        </row>
        <row r="21">
          <cell r="C21">
            <v>8741513.6317943707</v>
          </cell>
          <cell r="D21">
            <v>8897841.3926442191</v>
          </cell>
          <cell r="Q21">
            <v>6745069.471922474</v>
          </cell>
          <cell r="AF21">
            <v>10395733.584783155</v>
          </cell>
          <cell r="BK21">
            <v>2982346.6321798353</v>
          </cell>
        </row>
        <row r="22">
          <cell r="C22">
            <v>7204115.7589233164</v>
          </cell>
          <cell r="D22">
            <v>9125369.7927618325</v>
          </cell>
          <cell r="Q22">
            <v>7872023.118954028</v>
          </cell>
          <cell r="AF22">
            <v>10002062.392514775</v>
          </cell>
          <cell r="BK22">
            <v>1726500.5243235035</v>
          </cell>
        </row>
        <row r="23">
          <cell r="C23">
            <v>1156709.8431506916</v>
          </cell>
          <cell r="D23">
            <v>1488419.5982145811</v>
          </cell>
          <cell r="Q23">
            <v>1297282.965919045</v>
          </cell>
          <cell r="AF23">
            <v>1607937.878608379</v>
          </cell>
          <cell r="BK23">
            <v>237759.58133916042</v>
          </cell>
        </row>
        <row r="24">
          <cell r="C24">
            <v>17152.41</v>
          </cell>
          <cell r="D24">
            <v>17152.41</v>
          </cell>
          <cell r="Q24">
            <v>17152.41</v>
          </cell>
          <cell r="AF24">
            <v>17152.41</v>
          </cell>
          <cell r="BK24">
            <v>0</v>
          </cell>
        </row>
        <row r="25">
          <cell r="C25">
            <v>15409.519999999999</v>
          </cell>
          <cell r="D25">
            <v>15409.519999999999</v>
          </cell>
          <cell r="Q25">
            <v>15409.52</v>
          </cell>
          <cell r="AF25">
            <v>15409.52</v>
          </cell>
          <cell r="BK25">
            <v>0</v>
          </cell>
        </row>
        <row r="26">
          <cell r="C26">
            <v>1620485.9431288985</v>
          </cell>
          <cell r="D26">
            <v>1495751.7330012745</v>
          </cell>
          <cell r="Q26">
            <v>1334419.4526767768</v>
          </cell>
          <cell r="AF26">
            <v>1620512.0522977025</v>
          </cell>
          <cell r="BK26">
            <v>241152.87825257378</v>
          </cell>
        </row>
        <row r="27">
          <cell r="C27">
            <v>633630.70261512394</v>
          </cell>
          <cell r="D27">
            <v>565086.84648060636</v>
          </cell>
          <cell r="Q27">
            <v>530950.27510041348</v>
          </cell>
          <cell r="AF27">
            <v>587833.5493327009</v>
          </cell>
          <cell r="BK27">
            <v>45493.093288807519</v>
          </cell>
        </row>
        <row r="28">
          <cell r="C28">
            <v>77561732.141543582</v>
          </cell>
          <cell r="D28">
            <v>86746968.751971349</v>
          </cell>
          <cell r="Q28">
            <v>80961799.254895419</v>
          </cell>
          <cell r="AF28">
            <v>90849277.140440717</v>
          </cell>
          <cell r="BK28">
            <v>8016943.061270942</v>
          </cell>
        </row>
        <row r="29">
          <cell r="C29">
            <v>1109180.6015384616</v>
          </cell>
          <cell r="D29">
            <v>1098665.8199999998</v>
          </cell>
          <cell r="Q29">
            <v>1098665.8199999996</v>
          </cell>
          <cell r="AF29">
            <v>1098665.8199999996</v>
          </cell>
          <cell r="BK29">
            <v>0</v>
          </cell>
        </row>
        <row r="30">
          <cell r="C30">
            <v>6.1538461538461538E-3</v>
          </cell>
          <cell r="D30">
            <v>0</v>
          </cell>
          <cell r="BK30"/>
        </row>
        <row r="31">
          <cell r="C31">
            <v>-0.71230769230769231</v>
          </cell>
          <cell r="D31">
            <v>0</v>
          </cell>
          <cell r="Q31">
            <v>0</v>
          </cell>
          <cell r="AF31">
            <v>0</v>
          </cell>
        </row>
        <row r="36">
          <cell r="C36">
            <v>0</v>
          </cell>
          <cell r="D36">
            <v>0</v>
          </cell>
          <cell r="Q36">
            <v>0</v>
          </cell>
          <cell r="AF36">
            <v>0</v>
          </cell>
          <cell r="BK36">
            <v>0</v>
          </cell>
        </row>
        <row r="37">
          <cell r="C37">
            <v>0</v>
          </cell>
          <cell r="D37">
            <v>0</v>
          </cell>
          <cell r="Q37">
            <v>0</v>
          </cell>
          <cell r="AF37">
            <v>0</v>
          </cell>
          <cell r="BK37">
            <v>0</v>
          </cell>
        </row>
        <row r="38">
          <cell r="C38">
            <v>3122743.4456063802</v>
          </cell>
          <cell r="D38">
            <v>3630142.9990200689</v>
          </cell>
          <cell r="Q38">
            <v>3333416.2322448809</v>
          </cell>
          <cell r="AF38">
            <v>3821156.646319584</v>
          </cell>
          <cell r="BK38">
            <v>381920.17698739399</v>
          </cell>
        </row>
        <row r="39">
          <cell r="C39">
            <v>3614586.0891651157</v>
          </cell>
          <cell r="D39">
            <v>3814736.0932109994</v>
          </cell>
          <cell r="Q39">
            <v>3701257.4268990001</v>
          </cell>
          <cell r="AF39">
            <v>3884585.6510734996</v>
          </cell>
          <cell r="BK39">
            <v>139699.11572500001</v>
          </cell>
        </row>
        <row r="40">
          <cell r="C40">
            <v>2982588.1793999616</v>
          </cell>
          <cell r="D40">
            <v>3400213.5990710007</v>
          </cell>
          <cell r="Q40">
            <v>3156390.1220569997</v>
          </cell>
          <cell r="AF40">
            <v>3557031.6900565019</v>
          </cell>
          <cell r="BK40">
            <v>313636.18197099998</v>
          </cell>
        </row>
        <row r="41">
          <cell r="C41">
            <v>331357.96869666525</v>
          </cell>
          <cell r="D41">
            <v>446777.88771304733</v>
          </cell>
          <cell r="Q41">
            <v>377973.40320571238</v>
          </cell>
          <cell r="AF41">
            <v>492197.54099577921</v>
          </cell>
          <cell r="BK41">
            <v>90955.821046138502</v>
          </cell>
        </row>
        <row r="42">
          <cell r="C42">
            <v>177.2746153846154</v>
          </cell>
          <cell r="D42">
            <v>176.23000000000002</v>
          </cell>
          <cell r="Q42">
            <v>176.23000000000002</v>
          </cell>
          <cell r="AF42">
            <v>176.23000000000002</v>
          </cell>
          <cell r="BK42">
            <v>0</v>
          </cell>
        </row>
        <row r="43">
          <cell r="C43">
            <v>-6107431.6217438839</v>
          </cell>
          <cell r="D43">
            <v>-5968487.3654519999</v>
          </cell>
          <cell r="Q43">
            <v>-6053083.3907629978</v>
          </cell>
          <cell r="AF43">
            <v>-5911075.909759501</v>
          </cell>
          <cell r="BK43">
            <v>114822.91138500003</v>
          </cell>
        </row>
        <row r="44">
          <cell r="C44">
            <v>92294.379790692285</v>
          </cell>
          <cell r="D44">
            <v>111524.07237599994</v>
          </cell>
          <cell r="Q44">
            <v>99817.197793999978</v>
          </cell>
          <cell r="AF44">
            <v>119468.9930609999</v>
          </cell>
          <cell r="BK44">
            <v>15889.841370000004</v>
          </cell>
        </row>
        <row r="45">
          <cell r="C45">
            <v>1380.6648678124195</v>
          </cell>
          <cell r="D45">
            <v>3517.4485534245491</v>
          </cell>
          <cell r="Q45">
            <v>1745.3314147277765</v>
          </cell>
          <cell r="AF45">
            <v>5216.0379003609105</v>
          </cell>
          <cell r="BK45">
            <v>3255.5560651450769</v>
          </cell>
        </row>
        <row r="46">
          <cell r="C46">
            <v>202110.47435476913</v>
          </cell>
          <cell r="D46">
            <v>308488.45838599978</v>
          </cell>
          <cell r="Q46">
            <v>245634.72903199992</v>
          </cell>
          <cell r="AF46">
            <v>349573.02822399966</v>
          </cell>
          <cell r="BK46">
            <v>82169.139675999992</v>
          </cell>
        </row>
        <row r="47">
          <cell r="C47">
            <v>2900495.5391283119</v>
          </cell>
          <cell r="D47">
            <v>3810394.9551611799</v>
          </cell>
          <cell r="Q47">
            <v>3247276.523088837</v>
          </cell>
          <cell r="AF47">
            <v>4200904.0768759176</v>
          </cell>
          <cell r="BK47">
            <v>778780.73391895415</v>
          </cell>
        </row>
        <row r="48">
          <cell r="C48">
            <v>870055.90197105356</v>
          </cell>
          <cell r="D48">
            <v>1071176.4286662876</v>
          </cell>
          <cell r="Q48">
            <v>949412.37050597917</v>
          </cell>
          <cell r="AF48">
            <v>1153376.2904887816</v>
          </cell>
          <cell r="BK48">
            <v>164032.53582691756</v>
          </cell>
        </row>
        <row r="49">
          <cell r="C49">
            <v>58474.821397195323</v>
          </cell>
          <cell r="D49">
            <v>117108.14220324624</v>
          </cell>
          <cell r="Q49">
            <v>82572.342633080611</v>
          </cell>
          <cell r="AF49">
            <v>139676.65187023746</v>
          </cell>
          <cell r="BK49">
            <v>44341.577507766975</v>
          </cell>
        </row>
        <row r="50">
          <cell r="C50">
            <v>-97098.118749693997</v>
          </cell>
          <cell r="D50">
            <v>-35212.885007407509</v>
          </cell>
          <cell r="Q50">
            <v>-108920.08236006697</v>
          </cell>
          <cell r="AF50">
            <v>18642.191809181691</v>
          </cell>
          <cell r="BK50">
            <v>106436.37652092979</v>
          </cell>
        </row>
        <row r="51">
          <cell r="C51">
            <v>95723.769467846156</v>
          </cell>
          <cell r="D51">
            <v>-5186.6554505000086</v>
          </cell>
          <cell r="Q51">
            <v>-14578.540548000008</v>
          </cell>
          <cell r="AF51">
            <v>1071.4549209999916</v>
          </cell>
          <cell r="BK51">
            <v>12516.220742999996</v>
          </cell>
        </row>
        <row r="52">
          <cell r="C52">
            <v>42625456.907434508</v>
          </cell>
          <cell r="D52">
            <v>50066514.513103761</v>
          </cell>
          <cell r="Q52">
            <v>44598601.490012631</v>
          </cell>
          <cell r="AF52">
            <v>53760471.877220847</v>
          </cell>
          <cell r="BK52">
            <v>7350570.3991458537</v>
          </cell>
        </row>
        <row r="53">
          <cell r="C53">
            <v>46616.541062461518</v>
          </cell>
          <cell r="D53">
            <v>62171.674985999976</v>
          </cell>
          <cell r="Q53">
            <v>52981.628231999974</v>
          </cell>
          <cell r="AF53">
            <v>68178.782623999999</v>
          </cell>
          <cell r="BK53">
            <v>12014.215276000003</v>
          </cell>
        </row>
        <row r="54">
          <cell r="C54">
            <v>114933.26213434618</v>
          </cell>
          <cell r="D54">
            <v>137885.24300300007</v>
          </cell>
          <cell r="Q54">
            <v>123450.49649900006</v>
          </cell>
          <cell r="AF54">
            <v>148061.35125750001</v>
          </cell>
          <cell r="BK54">
            <v>20352.216508999998</v>
          </cell>
        </row>
        <row r="55">
          <cell r="C55">
            <v>35151.06100553846</v>
          </cell>
          <cell r="D55">
            <v>42660.219451999998</v>
          </cell>
          <cell r="Q55">
            <v>38155.826591999998</v>
          </cell>
          <cell r="AF55">
            <v>45661.639016000016</v>
          </cell>
          <cell r="BK55">
            <v>6002.8391279999996</v>
          </cell>
        </row>
        <row r="56">
          <cell r="C56">
            <v>0</v>
          </cell>
          <cell r="D56">
            <v>0</v>
          </cell>
          <cell r="Q56">
            <v>0</v>
          </cell>
          <cell r="AF56">
            <v>0</v>
          </cell>
        </row>
        <row r="61">
          <cell r="C61">
            <v>0</v>
          </cell>
          <cell r="Q61">
            <v>0</v>
          </cell>
          <cell r="BK61">
            <v>0</v>
          </cell>
        </row>
        <row r="62">
          <cell r="C62">
            <v>0</v>
          </cell>
          <cell r="Q62">
            <v>0</v>
          </cell>
          <cell r="BK62">
            <v>0</v>
          </cell>
        </row>
        <row r="63">
          <cell r="C63">
            <v>85879.037494846169</v>
          </cell>
          <cell r="D63">
            <v>92492.137924999988</v>
          </cell>
          <cell r="Q63">
            <v>88685.677838000003</v>
          </cell>
          <cell r="AF63">
            <v>94895.274092999985</v>
          </cell>
          <cell r="BK63">
            <v>4806.272336</v>
          </cell>
        </row>
        <row r="64">
          <cell r="C64">
            <v>6348.1</v>
          </cell>
          <cell r="D64">
            <v>6348.1</v>
          </cell>
          <cell r="Q64">
            <v>6348.1</v>
          </cell>
          <cell r="AF64">
            <v>6348.1</v>
          </cell>
          <cell r="BK64">
            <v>0</v>
          </cell>
        </row>
        <row r="65">
          <cell r="C65">
            <v>38834</v>
          </cell>
          <cell r="D65">
            <v>42002.548076923078</v>
          </cell>
          <cell r="Q65">
            <v>38834</v>
          </cell>
          <cell r="AF65">
            <v>46493.750000000007</v>
          </cell>
          <cell r="BK65">
            <v>7659.75</v>
          </cell>
        </row>
        <row r="66">
          <cell r="C66">
            <v>40234.098596153854</v>
          </cell>
          <cell r="D66">
            <v>42398.639615384629</v>
          </cell>
          <cell r="Q66">
            <v>41004.220500000003</v>
          </cell>
          <cell r="AF66">
            <v>42781.421333333339</v>
          </cell>
          <cell r="BK66">
            <v>1244.0405833333336</v>
          </cell>
        </row>
        <row r="67">
          <cell r="C67">
            <v>3941.1102742499997</v>
          </cell>
          <cell r="D67">
            <v>4109.7972422500006</v>
          </cell>
          <cell r="Q67">
            <v>4041.2681614999992</v>
          </cell>
          <cell r="AF67">
            <v>4109.7972422499988</v>
          </cell>
          <cell r="BK67">
            <v>0</v>
          </cell>
        </row>
        <row r="68">
          <cell r="C68">
            <v>132241.58986030775</v>
          </cell>
          <cell r="D68">
            <v>143425.85175600008</v>
          </cell>
          <cell r="Q68">
            <v>137827.05662400011</v>
          </cell>
          <cell r="AF68">
            <v>146208.87857600008</v>
          </cell>
          <cell r="BK68">
            <v>5566.0536400000019</v>
          </cell>
        </row>
        <row r="69">
          <cell r="C69">
            <v>7493.1800433653852</v>
          </cell>
          <cell r="D69">
            <v>5647.9634047500012</v>
          </cell>
          <cell r="Q69">
            <v>5229.3787325000012</v>
          </cell>
          <cell r="AF69">
            <v>5888.573710749999</v>
          </cell>
          <cell r="BK69">
            <v>481.22061200000007</v>
          </cell>
        </row>
        <row r="70">
          <cell r="C70">
            <v>209046.36745496161</v>
          </cell>
          <cell r="D70">
            <v>224031.88430696164</v>
          </cell>
          <cell r="Q70">
            <v>216863.88054700012</v>
          </cell>
          <cell r="AF70">
            <v>226068.91461100007</v>
          </cell>
          <cell r="BK70">
            <v>5296.2787905000005</v>
          </cell>
        </row>
        <row r="71">
          <cell r="C71">
            <v>602203.95085957681</v>
          </cell>
          <cell r="D71">
            <v>651472.52045016654</v>
          </cell>
          <cell r="Q71">
            <v>624630.72807366645</v>
          </cell>
          <cell r="AF71">
            <v>666779.17937316652</v>
          </cell>
          <cell r="BK71">
            <v>30613.317846000009</v>
          </cell>
        </row>
        <row r="72">
          <cell r="C72">
            <v>76993.219999999987</v>
          </cell>
          <cell r="D72">
            <v>76993.219999999987</v>
          </cell>
          <cell r="Q72">
            <v>76993.22</v>
          </cell>
          <cell r="AF72">
            <v>76993.22</v>
          </cell>
          <cell r="BK72">
            <v>0</v>
          </cell>
        </row>
        <row r="73">
          <cell r="C73">
            <v>292831.89971407695</v>
          </cell>
          <cell r="D73">
            <v>329333.62491700001</v>
          </cell>
          <cell r="Q73">
            <v>309938.31893800001</v>
          </cell>
          <cell r="AF73">
            <v>340175.72142700013</v>
          </cell>
          <cell r="BK73">
            <v>21684.193019999995</v>
          </cell>
        </row>
        <row r="74">
          <cell r="C74">
            <v>8273.14</v>
          </cell>
          <cell r="D74">
            <v>8273.14</v>
          </cell>
          <cell r="Q74">
            <v>8273.14</v>
          </cell>
          <cell r="AF74">
            <v>8273.14</v>
          </cell>
          <cell r="BK74">
            <v>0</v>
          </cell>
        </row>
        <row r="75">
          <cell r="C75">
            <v>209357.66</v>
          </cell>
          <cell r="D75">
            <v>209357.66</v>
          </cell>
          <cell r="Q75">
            <v>209357.66</v>
          </cell>
          <cell r="AF75">
            <v>209357.66</v>
          </cell>
          <cell r="BK75">
            <v>0</v>
          </cell>
        </row>
        <row r="76">
          <cell r="C76">
            <v>316760.233076923</v>
          </cell>
          <cell r="D76">
            <v>325080.33999999991</v>
          </cell>
          <cell r="Q76">
            <v>325080.33999999991</v>
          </cell>
          <cell r="AF76">
            <v>325080.33999999991</v>
          </cell>
          <cell r="BK76">
            <v>0</v>
          </cell>
        </row>
        <row r="77">
          <cell r="C77">
            <v>47142.13411578846</v>
          </cell>
          <cell r="D77">
            <v>59020.269390749978</v>
          </cell>
          <cell r="Q77">
            <v>52185.591001499975</v>
          </cell>
          <cell r="AF77">
            <v>63179.857279249991</v>
          </cell>
          <cell r="BK77">
            <v>8319.1757770000022</v>
          </cell>
        </row>
        <row r="78">
          <cell r="C78">
            <v>896439.6792307694</v>
          </cell>
          <cell r="D78">
            <v>898473.13000000024</v>
          </cell>
          <cell r="Q78">
            <v>898473.13</v>
          </cell>
          <cell r="AF78">
            <v>898473.13</v>
          </cell>
          <cell r="BK78">
            <v>0</v>
          </cell>
        </row>
        <row r="79">
          <cell r="C79">
            <v>57509.186153846167</v>
          </cell>
          <cell r="D79">
            <v>57506.510000000009</v>
          </cell>
          <cell r="Q79">
            <v>57506.510000000009</v>
          </cell>
          <cell r="AF79">
            <v>57506.510000000009</v>
          </cell>
        </row>
        <row r="84">
          <cell r="C84">
            <v>8329.7199999999993</v>
          </cell>
          <cell r="D84">
            <v>8329.7199999999993</v>
          </cell>
          <cell r="Q84">
            <v>8329.7199999999993</v>
          </cell>
          <cell r="AF84">
            <v>8329.7199999999993</v>
          </cell>
          <cell r="BK84">
            <v>0</v>
          </cell>
        </row>
        <row r="85">
          <cell r="C85">
            <v>119852.68999999996</v>
          </cell>
          <cell r="D85">
            <v>119852.68999999996</v>
          </cell>
          <cell r="Q85">
            <v>119852.69</v>
          </cell>
          <cell r="AF85">
            <v>119852.69</v>
          </cell>
          <cell r="BK85">
            <v>0</v>
          </cell>
        </row>
        <row r="86">
          <cell r="C86">
            <v>0</v>
          </cell>
          <cell r="D86">
            <v>0</v>
          </cell>
          <cell r="Q86">
            <v>0</v>
          </cell>
          <cell r="AF86">
            <v>0</v>
          </cell>
          <cell r="BK86">
            <v>0</v>
          </cell>
        </row>
        <row r="87">
          <cell r="C87">
            <v>-28968.38</v>
          </cell>
          <cell r="D87">
            <v>-28968.38</v>
          </cell>
          <cell r="Q87">
            <v>-28968.38</v>
          </cell>
          <cell r="AF87">
            <v>-28968.38</v>
          </cell>
          <cell r="BK87">
            <v>0</v>
          </cell>
        </row>
        <row r="88">
          <cell r="C88">
            <v>1562.9869230769229</v>
          </cell>
          <cell r="D88">
            <v>1572.34</v>
          </cell>
          <cell r="Q88">
            <v>1572.3399999999997</v>
          </cell>
          <cell r="AF88">
            <v>1572.3399999999997</v>
          </cell>
          <cell r="BK88">
            <v>0</v>
          </cell>
        </row>
        <row r="89">
          <cell r="C89">
            <v>0</v>
          </cell>
          <cell r="D89">
            <v>0</v>
          </cell>
          <cell r="Q89">
            <v>0</v>
          </cell>
          <cell r="AF89">
            <v>0</v>
          </cell>
          <cell r="BK89">
            <v>0</v>
          </cell>
        </row>
        <row r="90">
          <cell r="C90">
            <v>5420.21</v>
          </cell>
          <cell r="D90">
            <v>5420.21</v>
          </cell>
          <cell r="Q90">
            <v>5420.21</v>
          </cell>
          <cell r="AF90">
            <v>5420.21</v>
          </cell>
          <cell r="BK90">
            <v>0</v>
          </cell>
        </row>
        <row r="91">
          <cell r="C91">
            <v>5127.4565630384604</v>
          </cell>
          <cell r="D91">
            <v>5500.106751999996</v>
          </cell>
          <cell r="Q91">
            <v>5276.1543769999989</v>
          </cell>
          <cell r="AF91">
            <v>5649.706938499995</v>
          </cell>
          <cell r="BK91">
            <v>299.20037300000001</v>
          </cell>
        </row>
        <row r="92">
          <cell r="C92">
            <v>107615.37170826925</v>
          </cell>
          <cell r="D92">
            <v>109879.8057075</v>
          </cell>
          <cell r="Q92">
            <v>108481.29634500002</v>
          </cell>
          <cell r="AF92">
            <v>110845.3518975</v>
          </cell>
          <cell r="BK92">
            <v>1931.0923800000003</v>
          </cell>
        </row>
        <row r="93">
          <cell r="C93">
            <v>19826.881935000009</v>
          </cell>
          <cell r="D93">
            <v>20054.783043000007</v>
          </cell>
          <cell r="Q93">
            <v>19907.854330000009</v>
          </cell>
          <cell r="AF93">
            <v>20161.219591000005</v>
          </cell>
          <cell r="BK93">
            <v>212.87309600000006</v>
          </cell>
        </row>
        <row r="94">
          <cell r="C94">
            <v>94115.86294188461</v>
          </cell>
          <cell r="D94">
            <v>96225.602835499987</v>
          </cell>
          <cell r="Q94">
            <v>94926.77092699999</v>
          </cell>
          <cell r="AF94">
            <v>97118.979280500003</v>
          </cell>
          <cell r="BK94">
            <v>1786.7528900000004</v>
          </cell>
        </row>
        <row r="95">
          <cell r="C95">
            <v>823631.41895473562</v>
          </cell>
          <cell r="D95">
            <v>1016575.8265509648</v>
          </cell>
          <cell r="Q95">
            <v>891608.91324900568</v>
          </cell>
          <cell r="AF95">
            <v>1106783.0021614919</v>
          </cell>
          <cell r="BK95">
            <v>176777.59258261847</v>
          </cell>
        </row>
        <row r="96">
          <cell r="C96">
            <v>1336479.7625741155</v>
          </cell>
          <cell r="D96">
            <v>1367547.2333185005</v>
          </cell>
          <cell r="Q96">
            <v>1348634.7495610004</v>
          </cell>
          <cell r="AF96">
            <v>1380382.2222955006</v>
          </cell>
          <cell r="BK96">
            <v>25669.977954000005</v>
          </cell>
        </row>
        <row r="97">
          <cell r="C97">
            <v>392157.2893255385</v>
          </cell>
          <cell r="D97">
            <v>379065.42822699994</v>
          </cell>
          <cell r="Q97">
            <v>376466.560352</v>
          </cell>
          <cell r="AF97">
            <v>380998.98592599994</v>
          </cell>
          <cell r="BK97">
            <v>3867.1153979999995</v>
          </cell>
        </row>
        <row r="98">
          <cell r="C98">
            <v>643859.76193599985</v>
          </cell>
          <cell r="D98">
            <v>681485.06171199982</v>
          </cell>
          <cell r="Q98">
            <v>658774.30004799971</v>
          </cell>
          <cell r="AF98">
            <v>696738.55835200008</v>
          </cell>
          <cell r="BK98">
            <v>30506.993279999999</v>
          </cell>
        </row>
        <row r="99">
          <cell r="C99">
            <v>165981.76687386539</v>
          </cell>
          <cell r="D99">
            <v>166387.91595475018</v>
          </cell>
          <cell r="Q99">
            <v>166044.24553150008</v>
          </cell>
          <cell r="AF99">
            <v>166700.34361225017</v>
          </cell>
          <cell r="BK99">
            <v>624.85531499999991</v>
          </cell>
        </row>
        <row r="100">
          <cell r="C100">
            <v>42545.13556190383</v>
          </cell>
          <cell r="D100">
            <v>43076.253775749952</v>
          </cell>
          <cell r="Q100">
            <v>42739.010658499967</v>
          </cell>
          <cell r="AF100">
            <v>43316.55656374996</v>
          </cell>
          <cell r="BK100">
            <v>480.60557599999987</v>
          </cell>
        </row>
        <row r="101">
          <cell r="C101">
            <v>153124.59715884615</v>
          </cell>
          <cell r="D101">
            <v>154142.02232999998</v>
          </cell>
          <cell r="Q101">
            <v>153320.93658999997</v>
          </cell>
          <cell r="AF101">
            <v>154864.934775</v>
          </cell>
          <cell r="BK101">
            <v>1445.8248900000001</v>
          </cell>
        </row>
        <row r="102">
          <cell r="C102">
            <v>213119.86923076917</v>
          </cell>
          <cell r="D102">
            <v>213181.89999999994</v>
          </cell>
          <cell r="Q102">
            <v>213181.89999999997</v>
          </cell>
          <cell r="AF102">
            <v>213181.89999999997</v>
          </cell>
          <cell r="BK102">
            <v>0</v>
          </cell>
        </row>
        <row r="103">
          <cell r="C103">
            <v>460797.72598096146</v>
          </cell>
          <cell r="D103">
            <v>480605.63777249999</v>
          </cell>
          <cell r="Q103">
            <v>468462.32221500005</v>
          </cell>
          <cell r="AF103">
            <v>488916.65222249989</v>
          </cell>
          <cell r="BK103">
            <v>16622.028900000001</v>
          </cell>
        </row>
        <row r="104">
          <cell r="C104">
            <v>204207.04184342313</v>
          </cell>
          <cell r="D104">
            <v>206591.78199700007</v>
          </cell>
          <cell r="Q104">
            <v>205387.366847</v>
          </cell>
          <cell r="AF104">
            <v>207206.03372350009</v>
          </cell>
          <cell r="BK104">
            <v>1228.503453</v>
          </cell>
        </row>
        <row r="105">
          <cell r="C105">
            <v>152175.22463490377</v>
          </cell>
          <cell r="D105">
            <v>157700.62047124992</v>
          </cell>
          <cell r="Q105">
            <v>153025.29007249992</v>
          </cell>
          <cell r="AF105">
            <v>161950.92083374993</v>
          </cell>
          <cell r="BK105">
            <v>8500.6007250000021</v>
          </cell>
        </row>
        <row r="106">
          <cell r="C106">
            <v>0</v>
          </cell>
          <cell r="D106">
            <v>0</v>
          </cell>
          <cell r="Q106">
            <v>0</v>
          </cell>
          <cell r="AF106">
            <v>0</v>
          </cell>
          <cell r="BK106">
            <v>0</v>
          </cell>
        </row>
        <row r="107">
          <cell r="C107">
            <v>436358.87886923063</v>
          </cell>
          <cell r="D107">
            <v>452087.24749999971</v>
          </cell>
          <cell r="Q107">
            <v>442997.33579999983</v>
          </cell>
          <cell r="AF107">
            <v>457857.93129999959</v>
          </cell>
          <cell r="BK107">
            <v>11541.367600000003</v>
          </cell>
        </row>
        <row r="108">
          <cell r="C108">
            <v>12299.139644923074</v>
          </cell>
          <cell r="D108">
            <v>13411.469043999994</v>
          </cell>
          <cell r="Q108">
            <v>12749.945823999993</v>
          </cell>
          <cell r="AF108">
            <v>13847.584352</v>
          </cell>
          <cell r="BK108">
            <v>872.23061599999994</v>
          </cell>
        </row>
        <row r="109">
          <cell r="C109">
            <v>45899.445118307682</v>
          </cell>
          <cell r="D109">
            <v>47280.206782999987</v>
          </cell>
          <cell r="Q109">
            <v>46459.05186799998</v>
          </cell>
          <cell r="AF109">
            <v>47821.560763999994</v>
          </cell>
          <cell r="BK109">
            <v>1082.707962</v>
          </cell>
        </row>
        <row r="110">
          <cell r="C110">
            <v>119387.63538461538</v>
          </cell>
          <cell r="D110">
            <v>130981.93000000007</v>
          </cell>
          <cell r="Q110">
            <v>124025.35</v>
          </cell>
          <cell r="AF110">
            <v>135619.65000000008</v>
          </cell>
          <cell r="BK110">
            <v>9275.4399999999987</v>
          </cell>
        </row>
        <row r="111">
          <cell r="C111">
            <v>17587856.574696023</v>
          </cell>
          <cell r="D111">
            <v>18289712.331949748</v>
          </cell>
          <cell r="Q111">
            <v>17880916.630299509</v>
          </cell>
          <cell r="AF111">
            <v>18552063.393450242</v>
          </cell>
          <cell r="BK111">
            <v>524702.12300100015</v>
          </cell>
        </row>
        <row r="112">
          <cell r="C112">
            <v>250741.58560915387</v>
          </cell>
          <cell r="D112">
            <v>267055.03536699997</v>
          </cell>
          <cell r="Q112">
            <v>257230.06083400006</v>
          </cell>
          <cell r="AF112">
            <v>273635.76948299992</v>
          </cell>
          <cell r="BK112">
            <v>13161.468231999999</v>
          </cell>
        </row>
        <row r="113">
          <cell r="C113">
            <v>1395684.7836025963</v>
          </cell>
          <cell r="D113">
            <v>1454876.2570157489</v>
          </cell>
          <cell r="Q113">
            <v>1418955.5419524994</v>
          </cell>
          <cell r="AF113">
            <v>1479163.8811027487</v>
          </cell>
          <cell r="BK113">
            <v>48575.248174000008</v>
          </cell>
        </row>
        <row r="114">
          <cell r="C114">
            <v>-9.9999999999999985E-3</v>
          </cell>
          <cell r="D114">
            <v>-9.9999999999999985E-3</v>
          </cell>
          <cell r="Q114">
            <v>-0.01</v>
          </cell>
          <cell r="AF114">
            <v>-0.01</v>
          </cell>
          <cell r="BK114">
            <v>0</v>
          </cell>
        </row>
        <row r="115">
          <cell r="C115">
            <v>0</v>
          </cell>
          <cell r="D115">
            <v>0</v>
          </cell>
          <cell r="Q115">
            <v>0</v>
          </cell>
          <cell r="AF115">
            <v>0</v>
          </cell>
          <cell r="BK115">
            <v>0</v>
          </cell>
        </row>
        <row r="116">
          <cell r="C116">
            <v>91057.892046392459</v>
          </cell>
          <cell r="D116">
            <v>120248.31965378176</v>
          </cell>
          <cell r="Q116">
            <v>102780.61280030801</v>
          </cell>
          <cell r="AF116">
            <v>131276.55425531496</v>
          </cell>
          <cell r="BK116">
            <v>22037.011447200493</v>
          </cell>
        </row>
        <row r="117">
          <cell r="C117">
            <v>0</v>
          </cell>
          <cell r="D117">
            <v>0</v>
          </cell>
          <cell r="Q117">
            <v>0</v>
          </cell>
          <cell r="AF117">
            <v>0</v>
          </cell>
          <cell r="BK117">
            <v>0</v>
          </cell>
        </row>
        <row r="118">
          <cell r="C118">
            <v>84146.00864088464</v>
          </cell>
          <cell r="D118">
            <v>93079.672375500042</v>
          </cell>
          <cell r="Q118">
            <v>87793.437809000054</v>
          </cell>
          <cell r="AF118">
            <v>96542.198037500013</v>
          </cell>
          <cell r="BK118">
            <v>6925.0513239999991</v>
          </cell>
        </row>
        <row r="119">
          <cell r="C119">
            <v>60214.697191288462</v>
          </cell>
          <cell r="D119">
            <v>62867.356804749979</v>
          </cell>
          <cell r="Q119">
            <v>61297.716710499997</v>
          </cell>
          <cell r="AF119">
            <v>63895.483543749964</v>
          </cell>
          <cell r="BK119">
            <v>2056.2534780000001</v>
          </cell>
        </row>
        <row r="120">
          <cell r="C120">
            <v>30486.714047326932</v>
          </cell>
          <cell r="D120">
            <v>31716.570849250005</v>
          </cell>
          <cell r="Q120">
            <v>30989.066461500002</v>
          </cell>
          <cell r="AF120">
            <v>32193.092006250019</v>
          </cell>
          <cell r="BK120">
            <v>953.04231399999992</v>
          </cell>
        </row>
        <row r="121">
          <cell r="C121">
            <v>1541.8340702307692</v>
          </cell>
          <cell r="D121">
            <v>1648.2650009999986</v>
          </cell>
          <cell r="Q121">
            <v>1585.2851179999996</v>
          </cell>
          <cell r="AF121">
            <v>1689.5173249999984</v>
          </cell>
          <cell r="BK121">
            <v>82.504648000000017</v>
          </cell>
        </row>
        <row r="122">
          <cell r="C122">
            <v>12974183.652307035</v>
          </cell>
          <cell r="D122">
            <v>12563726.007170392</v>
          </cell>
          <cell r="Q122">
            <v>12749426.089028159</v>
          </cell>
          <cell r="AF122">
            <v>12613667.313597281</v>
          </cell>
          <cell r="BK122">
            <v>999517.9413844964</v>
          </cell>
        </row>
        <row r="123">
          <cell r="C123">
            <v>24995887.743360639</v>
          </cell>
          <cell r="D123">
            <v>25503851.906295814</v>
          </cell>
          <cell r="Q123">
            <v>25096678.237261418</v>
          </cell>
          <cell r="AF123">
            <v>26014977.518867083</v>
          </cell>
          <cell r="BK123">
            <v>2355110.6991566564</v>
          </cell>
        </row>
        <row r="124">
          <cell r="C124">
            <v>11938882.399967462</v>
          </cell>
          <cell r="D124">
            <v>14330469.760161983</v>
          </cell>
          <cell r="Q124">
            <v>12840750.53466784</v>
          </cell>
          <cell r="AF124">
            <v>15350581.999358786</v>
          </cell>
          <cell r="BK124">
            <v>2044395.2352702357</v>
          </cell>
        </row>
        <row r="125">
          <cell r="C125">
            <v>1795528.7667832826</v>
          </cell>
          <cell r="D125">
            <v>2038790.2839423008</v>
          </cell>
          <cell r="Q125">
            <v>1889109.3664089912</v>
          </cell>
          <cell r="AF125">
            <v>2142318.3952790843</v>
          </cell>
          <cell r="BK125">
            <v>216376.41859987559</v>
          </cell>
        </row>
        <row r="126">
          <cell r="C126">
            <v>546784.67133280472</v>
          </cell>
          <cell r="D126">
            <v>636817.22325764527</v>
          </cell>
          <cell r="Q126">
            <v>578353.97001379193</v>
          </cell>
          <cell r="AF126">
            <v>679347.38363375934</v>
          </cell>
          <cell r="BK126">
            <v>90385.566468409423</v>
          </cell>
        </row>
        <row r="127">
          <cell r="C127">
            <v>825031.44093707681</v>
          </cell>
          <cell r="D127">
            <v>872464.07280099951</v>
          </cell>
          <cell r="Q127">
            <v>843333.22205199965</v>
          </cell>
          <cell r="AF127">
            <v>892395.7075239995</v>
          </cell>
          <cell r="BK127">
            <v>39863.269445999998</v>
          </cell>
        </row>
        <row r="128">
          <cell r="C128">
            <v>42277011.127153352</v>
          </cell>
          <cell r="D128">
            <v>41215363.434713893</v>
          </cell>
          <cell r="Q128">
            <v>41673200.205828369</v>
          </cell>
          <cell r="AF128">
            <v>41469349.390848212</v>
          </cell>
          <cell r="BK128">
            <v>4112168.3225069912</v>
          </cell>
        </row>
        <row r="129">
          <cell r="C129">
            <v>14811873.896610765</v>
          </cell>
          <cell r="D129">
            <v>17354749.489799816</v>
          </cell>
          <cell r="Q129">
            <v>15658295.2331923</v>
          </cell>
          <cell r="AF129">
            <v>18659965.967822582</v>
          </cell>
          <cell r="BK129">
            <v>2897270.4089805009</v>
          </cell>
        </row>
        <row r="130">
          <cell r="C130">
            <v>20684388.699045144</v>
          </cell>
          <cell r="D130">
            <v>22442436.168499127</v>
          </cell>
          <cell r="Q130">
            <v>21351302.371157583</v>
          </cell>
          <cell r="AF130">
            <v>23254505.520974264</v>
          </cell>
          <cell r="BK130">
            <v>2133687.8687735833</v>
          </cell>
        </row>
        <row r="131">
          <cell r="C131">
            <v>3063132.3177689635</v>
          </cell>
          <cell r="D131">
            <v>3398848.2452533166</v>
          </cell>
          <cell r="Q131">
            <v>3198188.7724547056</v>
          </cell>
          <cell r="AF131">
            <v>3531640.4864969696</v>
          </cell>
          <cell r="BK131">
            <v>264821.54151127051</v>
          </cell>
        </row>
        <row r="132">
          <cell r="C132">
            <v>72220.333526076938</v>
          </cell>
          <cell r="D132">
            <v>76960.481160999945</v>
          </cell>
          <cell r="Q132">
            <v>74171.935953999986</v>
          </cell>
          <cell r="AF132">
            <v>78773.228390999924</v>
          </cell>
          <cell r="BK132">
            <v>3625.4944600000003</v>
          </cell>
        </row>
        <row r="133">
          <cell r="C133">
            <v>2591259.9568336639</v>
          </cell>
          <cell r="D133">
            <v>2791804.6332062902</v>
          </cell>
          <cell r="Q133">
            <v>2675605.280075232</v>
          </cell>
          <cell r="AF133">
            <v>2865662.5790506341</v>
          </cell>
          <cell r="BK133">
            <v>147373.97049414355</v>
          </cell>
        </row>
        <row r="134">
          <cell r="C134">
            <v>0</v>
          </cell>
          <cell r="D134">
            <v>0</v>
          </cell>
          <cell r="Q134">
            <v>0</v>
          </cell>
          <cell r="AF134">
            <v>0</v>
          </cell>
          <cell r="BK134">
            <v>0</v>
          </cell>
        </row>
        <row r="135">
          <cell r="C135">
            <v>-39809.945874493096</v>
          </cell>
          <cell r="D135">
            <v>189418.63594092827</v>
          </cell>
          <cell r="Q135">
            <v>44656.23135323693</v>
          </cell>
          <cell r="AF135">
            <v>289088.31282531878</v>
          </cell>
          <cell r="BK135">
            <v>197482.42415229388</v>
          </cell>
        </row>
        <row r="136">
          <cell r="C136">
            <v>58155.17863298078</v>
          </cell>
          <cell r="D136">
            <v>66304.561563749987</v>
          </cell>
          <cell r="Q136">
            <v>61418.394922500003</v>
          </cell>
          <cell r="AF136">
            <v>69559.120743749969</v>
          </cell>
          <cell r="BK136">
            <v>6509.1183599999995</v>
          </cell>
        </row>
        <row r="137">
          <cell r="C137">
            <v>133265.82199234617</v>
          </cell>
          <cell r="D137">
            <v>166683.49139850002</v>
          </cell>
          <cell r="Q137">
            <v>146666.34454299998</v>
          </cell>
          <cell r="AF137">
            <v>180016.43598250006</v>
          </cell>
          <cell r="BK137">
            <v>26665.889167999998</v>
          </cell>
        </row>
        <row r="138">
          <cell r="C138">
            <v>2219.1924463653845</v>
          </cell>
          <cell r="D138">
            <v>2570.4396417499997</v>
          </cell>
          <cell r="Q138">
            <v>2359.8390864999992</v>
          </cell>
          <cell r="AF138">
            <v>2710.7156537500009</v>
          </cell>
          <cell r="BK138">
            <v>280.55202400000002</v>
          </cell>
        </row>
        <row r="139">
          <cell r="C139">
            <v>656203.4521031921</v>
          </cell>
          <cell r="D139">
            <v>907724.82154250005</v>
          </cell>
          <cell r="Q139">
            <v>746249.21066899982</v>
          </cell>
          <cell r="AF139">
            <v>1024306.2870815003</v>
          </cell>
          <cell r="BK139">
            <v>233162.93107800002</v>
          </cell>
        </row>
        <row r="140">
          <cell r="C140">
            <v>519863.33277257095</v>
          </cell>
          <cell r="D140">
            <v>684635.45574979717</v>
          </cell>
          <cell r="Q140">
            <v>589436.22067368345</v>
          </cell>
          <cell r="AF140">
            <v>750289.17115578603</v>
          </cell>
          <cell r="BK140">
            <v>130055.39517449915</v>
          </cell>
        </row>
        <row r="141">
          <cell r="C141">
            <v>106203.01897098079</v>
          </cell>
          <cell r="D141">
            <v>175612.79664675007</v>
          </cell>
          <cell r="Q141">
            <v>132780.76760650004</v>
          </cell>
          <cell r="AF141">
            <v>203084.81188375011</v>
          </cell>
          <cell r="BK141">
            <v>54944.030474000007</v>
          </cell>
        </row>
        <row r="142">
          <cell r="C142">
            <v>22089.278156846154</v>
          </cell>
          <cell r="D142">
            <v>30328.927253500002</v>
          </cell>
          <cell r="Q142">
            <v>26530.113153999999</v>
          </cell>
          <cell r="AF142">
            <v>31980.224776000006</v>
          </cell>
          <cell r="BK142">
            <v>3302.5950449999996</v>
          </cell>
        </row>
        <row r="143">
          <cell r="C143">
            <v>458490.89784908236</v>
          </cell>
          <cell r="D143">
            <v>619683.65379463276</v>
          </cell>
          <cell r="Q143">
            <v>521314.25797671126</v>
          </cell>
          <cell r="AF143">
            <v>694355.38037616992</v>
          </cell>
          <cell r="BK143">
            <v>166869.75465729632</v>
          </cell>
        </row>
        <row r="144">
          <cell r="C144">
            <v>24422.914772615386</v>
          </cell>
          <cell r="D144">
            <v>32576.174032000014</v>
          </cell>
          <cell r="Q144">
            <v>26128.780584000004</v>
          </cell>
          <cell r="AF144">
            <v>37181.117188000026</v>
          </cell>
          <cell r="BK144">
            <v>9209.8863120000024</v>
          </cell>
        </row>
        <row r="145">
          <cell r="C145">
            <v>34799.788355269229</v>
          </cell>
          <cell r="D145">
            <v>48240.259517999963</v>
          </cell>
          <cell r="Q145">
            <v>39687.803890999989</v>
          </cell>
          <cell r="AF145">
            <v>54348.708199499953</v>
          </cell>
          <cell r="BK145">
            <v>12216.897363000004</v>
          </cell>
        </row>
        <row r="146">
          <cell r="C146">
            <v>14280.874541615387</v>
          </cell>
          <cell r="D146">
            <v>22213.23834800001</v>
          </cell>
          <cell r="Q146">
            <v>17683.179726000009</v>
          </cell>
          <cell r="AF146">
            <v>25448.757107000012</v>
          </cell>
          <cell r="BK146">
            <v>6471.0375180000001</v>
          </cell>
        </row>
        <row r="147">
          <cell r="C147">
            <v>109495.46803550638</v>
          </cell>
          <cell r="D147">
            <v>143703.56691023239</v>
          </cell>
          <cell r="Q147">
            <v>123986.16920288237</v>
          </cell>
          <cell r="AF147">
            <v>157326.95427907369</v>
          </cell>
          <cell r="BK147">
            <v>26972.933665380504</v>
          </cell>
        </row>
        <row r="148">
          <cell r="C148">
            <v>-35822.780769230769</v>
          </cell>
          <cell r="D148">
            <v>-34902.689999999995</v>
          </cell>
          <cell r="Q148">
            <v>-34902.689999999988</v>
          </cell>
          <cell r="AF148">
            <v>-34902.689999999988</v>
          </cell>
          <cell r="BK148">
            <v>0</v>
          </cell>
        </row>
        <row r="149">
          <cell r="C149">
            <v>936870.7205181896</v>
          </cell>
          <cell r="D149">
            <v>1212907.9313582554</v>
          </cell>
          <cell r="Q149">
            <v>1055360.1385439383</v>
          </cell>
          <cell r="AF149">
            <v>1321481.8068243677</v>
          </cell>
          <cell r="BK149">
            <v>215120.501438924</v>
          </cell>
        </row>
        <row r="150">
          <cell r="C150">
            <v>10088.051024134495</v>
          </cell>
          <cell r="D150">
            <v>21856.168357969618</v>
          </cell>
          <cell r="Q150">
            <v>14754.001839524566</v>
          </cell>
          <cell r="AF150">
            <v>26592.044910262779</v>
          </cell>
          <cell r="BK150">
            <v>9471.1241712566043</v>
          </cell>
        </row>
        <row r="151">
          <cell r="C151">
            <v>300723.8939666833</v>
          </cell>
          <cell r="D151">
            <v>488192.58602291509</v>
          </cell>
          <cell r="Q151">
            <v>356878.80758886819</v>
          </cell>
          <cell r="AF151">
            <v>609329.2246667092</v>
          </cell>
          <cell r="BK151">
            <v>332087.59537104081</v>
          </cell>
        </row>
        <row r="152">
          <cell r="C152">
            <v>13751.769999999999</v>
          </cell>
          <cell r="D152">
            <v>13751.769999999999</v>
          </cell>
          <cell r="Q152">
            <v>13751.77</v>
          </cell>
          <cell r="AF152">
            <v>13751.77</v>
          </cell>
          <cell r="BK152">
            <v>0</v>
          </cell>
        </row>
        <row r="153">
          <cell r="C153">
            <v>123514.83000000002</v>
          </cell>
          <cell r="D153">
            <v>123514.83000000002</v>
          </cell>
          <cell r="Q153">
            <v>123514.83</v>
          </cell>
          <cell r="AF153">
            <v>123514.83</v>
          </cell>
          <cell r="BK153">
            <v>0</v>
          </cell>
        </row>
        <row r="154">
          <cell r="C154">
            <v>-6755363.977692307</v>
          </cell>
          <cell r="D154">
            <v>-6935473.1200000001</v>
          </cell>
          <cell r="Q154">
            <v>-6935473.1199999982</v>
          </cell>
          <cell r="AF154">
            <v>-6935473.1199999982</v>
          </cell>
        </row>
        <row r="155">
          <cell r="C155">
            <v>-400.97615384616199</v>
          </cell>
          <cell r="D155">
            <v>-8.1854523159563541E-12</v>
          </cell>
          <cell r="Q155">
            <v>-8.1854523159563541E-12</v>
          </cell>
          <cell r="AF155">
            <v>-8.1854523159563541E-12</v>
          </cell>
        </row>
        <row r="156">
          <cell r="C156">
            <v>55184.026153846164</v>
          </cell>
          <cell r="D156">
            <v>588054.66</v>
          </cell>
          <cell r="Q156">
            <v>204969.24000000002</v>
          </cell>
          <cell r="AF156">
            <v>868655.46000000031</v>
          </cell>
          <cell r="BK156">
            <v>561201.6</v>
          </cell>
        </row>
        <row r="168">
          <cell r="AU168">
            <v>3.4700027478474914E-2</v>
          </cell>
          <cell r="BJ168">
            <v>3.3280682731564759E-2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"/>
      <sheetName val="G.3"/>
      <sheetName val="Pivot Salary"/>
      <sheetName val="Pivot Payroll Taxes"/>
      <sheetName val="YTD Aug 15 Restricted Stock"/>
      <sheetName val="FY14 Restricted Stock"/>
      <sheetName val="FY15 Budget MIP Accrual"/>
      <sheetName val="FY14 Budget MIP Accrual"/>
    </sheetNames>
    <sheetDataSet>
      <sheetData sheetId="0"/>
      <sheetData sheetId="1">
        <row r="18">
          <cell r="G18">
            <v>2503302.46</v>
          </cell>
        </row>
        <row r="19">
          <cell r="G19">
            <v>7609109.4328147694</v>
          </cell>
        </row>
        <row r="22">
          <cell r="E22" t="str">
            <v>FY15</v>
          </cell>
          <cell r="F22" t="str">
            <v>FY16</v>
          </cell>
        </row>
        <row r="23">
          <cell r="E23">
            <v>0.08</v>
          </cell>
          <cell r="F23">
            <v>7.3999999999999996E-2</v>
          </cell>
        </row>
        <row r="24">
          <cell r="E24">
            <v>0.28699999999999998</v>
          </cell>
          <cell r="F24">
            <v>0.27750000000000002</v>
          </cell>
        </row>
        <row r="28">
          <cell r="G28">
            <v>220651.12</v>
          </cell>
          <cell r="K28">
            <v>229477.1648</v>
          </cell>
        </row>
        <row r="29">
          <cell r="G29">
            <v>210</v>
          </cell>
          <cell r="K29">
            <v>218.4</v>
          </cell>
        </row>
        <row r="30">
          <cell r="G30">
            <v>535.5</v>
          </cell>
          <cell r="K30">
            <v>556.92000000000007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ff_1-59_Att32 - PSC Assessme"/>
    </sheetNames>
    <sheetDataSet>
      <sheetData sheetId="0">
        <row r="18">
          <cell r="D18">
            <v>1.9009999999999999E-3</v>
          </cell>
        </row>
        <row r="19">
          <cell r="D19">
            <v>1.952E-3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9"/>
      <sheetName val="AFUDC"/>
      <sheetName val="gas rev"/>
      <sheetName val="gas customers"/>
      <sheetName val="vols"/>
    </sheetNames>
    <sheetDataSet>
      <sheetData sheetId="0">
        <row r="12">
          <cell r="C12">
            <v>144566173.81999999</v>
          </cell>
          <cell r="D12">
            <v>136918763.72000003</v>
          </cell>
          <cell r="E12">
            <v>121689040.77</v>
          </cell>
          <cell r="F12">
            <v>148864673.17000002</v>
          </cell>
          <cell r="G12">
            <v>180147322.15999997</v>
          </cell>
        </row>
        <row r="13">
          <cell r="C13">
            <v>10267069.140000001</v>
          </cell>
          <cell r="D13">
            <v>10853642.25</v>
          </cell>
          <cell r="E13">
            <v>11315066.649999999</v>
          </cell>
          <cell r="F13">
            <v>12586588.680000003</v>
          </cell>
          <cell r="G13">
            <v>14310851.760000002</v>
          </cell>
        </row>
        <row r="14">
          <cell r="C14">
            <v>1151872.05</v>
          </cell>
          <cell r="D14">
            <v>1111136</v>
          </cell>
          <cell r="E14">
            <v>996447.24000000011</v>
          </cell>
          <cell r="F14">
            <v>885729.76</v>
          </cell>
          <cell r="G14">
            <v>1567528.5</v>
          </cell>
        </row>
        <row r="15">
          <cell r="C15">
            <v>830631.56</v>
          </cell>
          <cell r="D15">
            <v>778272.30999999994</v>
          </cell>
          <cell r="E15">
            <v>777299.20000000019</v>
          </cell>
          <cell r="F15">
            <v>631461.59000000008</v>
          </cell>
          <cell r="G15">
            <v>856034.64000000013</v>
          </cell>
        </row>
        <row r="18">
          <cell r="C18">
            <v>98777117.979999989</v>
          </cell>
          <cell r="D18">
            <v>87028120.799999997</v>
          </cell>
          <cell r="E18">
            <v>70662981.900000006</v>
          </cell>
          <cell r="F18">
            <v>94656999.469999984</v>
          </cell>
          <cell r="G18">
            <v>118107393.96000001</v>
          </cell>
        </row>
        <row r="23">
          <cell r="C23">
            <v>11754532.969999999</v>
          </cell>
          <cell r="D23">
            <v>13727851.380000003</v>
          </cell>
          <cell r="E23">
            <v>12755703.250000002</v>
          </cell>
          <cell r="F23">
            <v>13868993.410000002</v>
          </cell>
          <cell r="G23">
            <v>13722772.910000004</v>
          </cell>
        </row>
        <row r="24">
          <cell r="C24">
            <v>-528867.36999999988</v>
          </cell>
          <cell r="D24">
            <v>-361489.24</v>
          </cell>
          <cell r="E24">
            <v>224120.28999999998</v>
          </cell>
          <cell r="F24">
            <v>507630.14</v>
          </cell>
          <cell r="G24">
            <v>1092228.3500000001</v>
          </cell>
        </row>
        <row r="25">
          <cell r="C25">
            <v>9668231.4099999983</v>
          </cell>
          <cell r="D25">
            <v>9411669.1000000015</v>
          </cell>
          <cell r="E25">
            <v>10085674.84</v>
          </cell>
          <cell r="F25">
            <v>11534019.540000001</v>
          </cell>
          <cell r="G25">
            <v>12035970.23</v>
          </cell>
        </row>
        <row r="26">
          <cell r="C26">
            <v>12908531.209999997</v>
          </cell>
          <cell r="D26">
            <v>13430852.279999999</v>
          </cell>
          <cell r="E26">
            <v>13981399.549999999</v>
          </cell>
          <cell r="F26">
            <v>14919020.950000001</v>
          </cell>
          <cell r="G26">
            <v>16845712.130000003</v>
          </cell>
        </row>
        <row r="27">
          <cell r="C27">
            <v>4069527.11</v>
          </cell>
          <cell r="D27">
            <v>2981873.14</v>
          </cell>
          <cell r="E27">
            <v>4317312.6800000006</v>
          </cell>
          <cell r="F27">
            <v>3871444.56</v>
          </cell>
          <cell r="G27">
            <v>4647807.2000000011</v>
          </cell>
        </row>
        <row r="33">
          <cell r="C33">
            <v>153463.71</v>
          </cell>
          <cell r="D33">
            <v>16.809999999999999</v>
          </cell>
          <cell r="E33">
            <v>63590.94</v>
          </cell>
          <cell r="F33">
            <v>82738.509999999995</v>
          </cell>
          <cell r="G33">
            <v>69150.83</v>
          </cell>
        </row>
        <row r="34">
          <cell r="C34">
            <v>2069886.27</v>
          </cell>
          <cell r="D34">
            <v>2165645.2200000002</v>
          </cell>
          <cell r="E34">
            <v>2702101.19</v>
          </cell>
          <cell r="F34">
            <v>2658631.4700000002</v>
          </cell>
          <cell r="G34">
            <v>2704801.9899999998</v>
          </cell>
        </row>
        <row r="35">
          <cell r="C35">
            <v>172258.78</v>
          </cell>
          <cell r="D35">
            <v>1119961.8900000001</v>
          </cell>
          <cell r="E35">
            <v>45767.44</v>
          </cell>
          <cell r="F35">
            <v>71223.429999999993</v>
          </cell>
          <cell r="G35">
            <v>60734.15</v>
          </cell>
        </row>
        <row r="38">
          <cell r="C38">
            <v>6631905.6800000006</v>
          </cell>
          <cell r="D38">
            <v>6397662.1499999985</v>
          </cell>
          <cell r="E38">
            <v>6276475.3200000003</v>
          </cell>
          <cell r="F38">
            <v>7215429.9899999993</v>
          </cell>
          <cell r="G38">
            <v>7234559.209999999</v>
          </cell>
        </row>
        <row r="44">
          <cell r="C44">
            <v>5226615</v>
          </cell>
          <cell r="D44">
            <v>8020392</v>
          </cell>
          <cell r="E44">
            <v>5350107.49</v>
          </cell>
          <cell r="F44">
            <v>7419823.4199999999</v>
          </cell>
          <cell r="G44">
            <v>9671535.370000001</v>
          </cell>
        </row>
      </sheetData>
      <sheetData sheetId="1"/>
      <sheetData sheetId="2">
        <row r="12">
          <cell r="C12">
            <v>93234719.520000011</v>
          </cell>
          <cell r="D12">
            <v>88698979.120000005</v>
          </cell>
          <cell r="E12">
            <v>79139602.579999983</v>
          </cell>
          <cell r="F12">
            <v>94408622.760000005</v>
          </cell>
          <cell r="G12">
            <v>114830243.86999999</v>
          </cell>
        </row>
        <row r="13">
          <cell r="C13">
            <v>-146370.82999999914</v>
          </cell>
          <cell r="D13">
            <v>-205738.40000000037</v>
          </cell>
          <cell r="E13">
            <v>-509327.58999999985</v>
          </cell>
          <cell r="F13">
            <v>1646587.6100000006</v>
          </cell>
          <cell r="G13">
            <v>496890.56999999844</v>
          </cell>
        </row>
        <row r="14">
          <cell r="C14">
            <v>38332859.919999994</v>
          </cell>
          <cell r="D14">
            <v>35988736.229999997</v>
          </cell>
          <cell r="E14">
            <v>31478562.100000001</v>
          </cell>
          <cell r="F14">
            <v>39938783.520000003</v>
          </cell>
          <cell r="G14">
            <v>49294803.939999998</v>
          </cell>
        </row>
        <row r="15">
          <cell r="C15">
            <v>4589557.51</v>
          </cell>
          <cell r="D15">
            <v>4854620.18</v>
          </cell>
          <cell r="E15">
            <v>4926384.9400000004</v>
          </cell>
          <cell r="F15">
            <v>4796885.17</v>
          </cell>
          <cell r="G15">
            <v>5845776.3600000003</v>
          </cell>
        </row>
        <row r="16">
          <cell r="C16">
            <v>8555407.7000000011</v>
          </cell>
          <cell r="D16">
            <v>7582166.5899999999</v>
          </cell>
          <cell r="E16">
            <v>6653818.7400000002</v>
          </cell>
          <cell r="F16">
            <v>8073794.1099999994</v>
          </cell>
          <cell r="G16">
            <v>9679607.4199999999</v>
          </cell>
        </row>
      </sheetData>
      <sheetData sheetId="3">
        <row r="13">
          <cell r="C13">
            <v>154483</v>
          </cell>
          <cell r="D13">
            <v>154947</v>
          </cell>
          <cell r="E13">
            <v>156159</v>
          </cell>
          <cell r="F13">
            <v>157010</v>
          </cell>
          <cell r="G13">
            <v>157922</v>
          </cell>
        </row>
        <row r="14">
          <cell r="C14">
            <v>17580</v>
          </cell>
          <cell r="D14">
            <v>17591</v>
          </cell>
          <cell r="E14">
            <v>17710</v>
          </cell>
          <cell r="F14">
            <v>17473</v>
          </cell>
          <cell r="G14">
            <v>17699</v>
          </cell>
        </row>
        <row r="15">
          <cell r="C15">
            <v>193</v>
          </cell>
          <cell r="D15">
            <v>208</v>
          </cell>
          <cell r="E15">
            <v>201</v>
          </cell>
          <cell r="F15">
            <v>198</v>
          </cell>
          <cell r="G15">
            <v>209</v>
          </cell>
        </row>
        <row r="16">
          <cell r="C16">
            <v>1574</v>
          </cell>
          <cell r="D16">
            <v>1579</v>
          </cell>
          <cell r="E16">
            <v>1596</v>
          </cell>
          <cell r="F16">
            <v>1564</v>
          </cell>
          <cell r="G16">
            <v>1559</v>
          </cell>
        </row>
      </sheetData>
      <sheetData sheetId="4">
        <row r="13">
          <cell r="C13">
            <v>10707476.32</v>
          </cell>
          <cell r="D13">
            <v>10405428.16</v>
          </cell>
          <cell r="E13">
            <v>8369577.9699999997</v>
          </cell>
          <cell r="F13">
            <v>10662876.41</v>
          </cell>
          <cell r="G13">
            <v>11757006.99</v>
          </cell>
        </row>
        <row r="14">
          <cell r="C14">
            <v>4946029.68</v>
          </cell>
          <cell r="D14">
            <v>4737930.03</v>
          </cell>
          <cell r="E14">
            <v>3946439.65</v>
          </cell>
          <cell r="F14">
            <v>5112547.93</v>
          </cell>
          <cell r="G14">
            <v>5657641.1699999999</v>
          </cell>
        </row>
        <row r="15">
          <cell r="C15">
            <v>724157.07000000007</v>
          </cell>
          <cell r="D15">
            <v>821135.42999999993</v>
          </cell>
          <cell r="E15">
            <v>995094.70000000019</v>
          </cell>
          <cell r="F15">
            <v>807005.98999999987</v>
          </cell>
          <cell r="G15">
            <v>780038.61999999976</v>
          </cell>
        </row>
        <row r="16">
          <cell r="C16">
            <v>1198524.27</v>
          </cell>
          <cell r="D16">
            <v>1125935.9900000002</v>
          </cell>
          <cell r="E16">
            <v>967626.79</v>
          </cell>
          <cell r="F16">
            <v>1185264.3900000001</v>
          </cell>
          <cell r="G16">
            <v>1241309.8799999999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Budget 2012"/>
      <sheetName val="LTD rate"/>
      <sheetName val="Sheet1"/>
    </sheetNames>
    <sheetDataSet>
      <sheetData sheetId="0">
        <row r="63">
          <cell r="BZ63">
            <v>150000000</v>
          </cell>
          <cell r="CA63">
            <v>150000000</v>
          </cell>
          <cell r="CB63">
            <v>150000000</v>
          </cell>
          <cell r="CC63">
            <v>150000000</v>
          </cell>
          <cell r="CD63">
            <v>150000000</v>
          </cell>
          <cell r="CE63">
            <v>150000000</v>
          </cell>
          <cell r="CF63">
            <v>150000000</v>
          </cell>
          <cell r="CG63">
            <v>150000000</v>
          </cell>
          <cell r="CH63">
            <v>150000000</v>
          </cell>
          <cell r="CI63">
            <v>150000000</v>
          </cell>
          <cell r="CJ63">
            <v>150000000</v>
          </cell>
          <cell r="CK63">
            <v>150000000</v>
          </cell>
          <cell r="CL63">
            <v>150000000</v>
          </cell>
        </row>
        <row r="66">
          <cell r="BZ66">
            <v>250000000</v>
          </cell>
          <cell r="CA66">
            <v>250000000</v>
          </cell>
          <cell r="CB66">
            <v>250000000</v>
          </cell>
          <cell r="CC66">
            <v>250000000</v>
          </cell>
          <cell r="CD66">
            <v>250000000</v>
          </cell>
          <cell r="CE66">
            <v>250000000</v>
          </cell>
          <cell r="CF66">
            <v>250000000</v>
          </cell>
          <cell r="CG66">
            <v>250000000</v>
          </cell>
          <cell r="CH66">
            <v>250000000</v>
          </cell>
          <cell r="CI66">
            <v>250000000</v>
          </cell>
          <cell r="CJ66">
            <v>250000000</v>
          </cell>
          <cell r="CK66">
            <v>250000000</v>
          </cell>
          <cell r="CL66">
            <v>250000000</v>
          </cell>
        </row>
        <row r="68">
          <cell r="BZ68">
            <v>450000000</v>
          </cell>
          <cell r="CA68">
            <v>450000000</v>
          </cell>
          <cell r="CB68">
            <v>450000000</v>
          </cell>
          <cell r="CC68">
            <v>450000000</v>
          </cell>
          <cell r="CD68">
            <v>450000000</v>
          </cell>
          <cell r="CE68">
            <v>450000000</v>
          </cell>
          <cell r="CF68">
            <v>450000000</v>
          </cell>
          <cell r="CG68">
            <v>450000000</v>
          </cell>
          <cell r="CH68">
            <v>450000000</v>
          </cell>
          <cell r="CI68">
            <v>450000000</v>
          </cell>
          <cell r="CJ68">
            <v>450000000</v>
          </cell>
          <cell r="CK68">
            <v>450000000</v>
          </cell>
          <cell r="CL68">
            <v>450000000</v>
          </cell>
        </row>
        <row r="69"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</row>
        <row r="70">
          <cell r="BZ70">
            <v>200000000</v>
          </cell>
          <cell r="CA70">
            <v>200000000</v>
          </cell>
          <cell r="CB70">
            <v>200000000</v>
          </cell>
          <cell r="CC70">
            <v>200000000</v>
          </cell>
          <cell r="CD70">
            <v>200000000</v>
          </cell>
          <cell r="CE70">
            <v>200000000</v>
          </cell>
          <cell r="CF70">
            <v>200000000</v>
          </cell>
          <cell r="CG70">
            <v>200000000</v>
          </cell>
          <cell r="CH70">
            <v>200000000</v>
          </cell>
          <cell r="CI70">
            <v>200000000</v>
          </cell>
          <cell r="CJ70">
            <v>200000000</v>
          </cell>
          <cell r="CK70">
            <v>200000000</v>
          </cell>
          <cell r="CL70">
            <v>200000000</v>
          </cell>
        </row>
        <row r="71">
          <cell r="BZ71">
            <v>400000000</v>
          </cell>
          <cell r="CA71">
            <v>400000000</v>
          </cell>
          <cell r="CB71">
            <v>400000000</v>
          </cell>
          <cell r="CC71">
            <v>400000000</v>
          </cell>
          <cell r="CD71">
            <v>400000000</v>
          </cell>
          <cell r="CE71">
            <v>400000000</v>
          </cell>
          <cell r="CF71">
            <v>400000000</v>
          </cell>
          <cell r="CG71">
            <v>400000000</v>
          </cell>
          <cell r="CH71">
            <v>400000000</v>
          </cell>
          <cell r="CI71">
            <v>400000000</v>
          </cell>
          <cell r="CJ71">
            <v>400000000</v>
          </cell>
          <cell r="CK71">
            <v>400000000</v>
          </cell>
          <cell r="CL71">
            <v>400000000</v>
          </cell>
        </row>
        <row r="78">
          <cell r="BZ78">
            <v>10000000</v>
          </cell>
          <cell r="CA78">
            <v>10000000</v>
          </cell>
          <cell r="CB78">
            <v>10000000</v>
          </cell>
          <cell r="CC78">
            <v>10000000</v>
          </cell>
          <cell r="CD78">
            <v>10000000</v>
          </cell>
          <cell r="CE78">
            <v>10000000</v>
          </cell>
          <cell r="CF78">
            <v>10000000</v>
          </cell>
          <cell r="CG78">
            <v>10000000</v>
          </cell>
          <cell r="CH78">
            <v>10000000</v>
          </cell>
          <cell r="CI78">
            <v>10000000</v>
          </cell>
          <cell r="CJ78">
            <v>10000000</v>
          </cell>
          <cell r="CK78">
            <v>10000000</v>
          </cell>
          <cell r="CL78">
            <v>10000000</v>
          </cell>
        </row>
        <row r="84">
          <cell r="BZ84">
            <v>1000000000</v>
          </cell>
          <cell r="CA84">
            <v>1000000000</v>
          </cell>
          <cell r="CB84">
            <v>1000000000</v>
          </cell>
          <cell r="CC84">
            <v>1000000000</v>
          </cell>
          <cell r="CD84">
            <v>1000000000</v>
          </cell>
          <cell r="CE84">
            <v>1000000000</v>
          </cell>
          <cell r="CF84">
            <v>1000000000</v>
          </cell>
          <cell r="CG84">
            <v>1000000000</v>
          </cell>
          <cell r="CH84">
            <v>1000000000</v>
          </cell>
          <cell r="CI84">
            <v>1000000000</v>
          </cell>
          <cell r="CJ84">
            <v>1000000000</v>
          </cell>
          <cell r="CK84">
            <v>1000000000</v>
          </cell>
          <cell r="CL84">
            <v>1000000000</v>
          </cell>
        </row>
        <row r="96">
          <cell r="BZ96">
            <v>4818584.7466666689</v>
          </cell>
          <cell r="CA96">
            <v>4790060.9166666698</v>
          </cell>
          <cell r="CB96">
            <v>4761537.0866666697</v>
          </cell>
          <cell r="CC96">
            <v>4733013.2566666696</v>
          </cell>
          <cell r="CD96">
            <v>4704489.4266666695</v>
          </cell>
          <cell r="CE96">
            <v>4675965.5966666695</v>
          </cell>
          <cell r="CF96">
            <v>4647441.7666666694</v>
          </cell>
          <cell r="CG96">
            <v>4618917.9366666693</v>
          </cell>
          <cell r="CH96">
            <v>4590394.1066666692</v>
          </cell>
          <cell r="CI96">
            <v>4561870.2766666692</v>
          </cell>
          <cell r="CJ96">
            <v>4533346.44666667</v>
          </cell>
          <cell r="CK96">
            <v>4504822.616666669</v>
          </cell>
          <cell r="CL96">
            <v>4476298.7866666699</v>
          </cell>
          <cell r="CO96">
            <v>4390727.2966666697</v>
          </cell>
          <cell r="CP96">
            <v>4362203.4666666696</v>
          </cell>
          <cell r="CQ96">
            <v>4333679.6366666695</v>
          </cell>
          <cell r="CR96">
            <v>4305155.8066666694</v>
          </cell>
          <cell r="CS96">
            <v>4276631.9766666703</v>
          </cell>
          <cell r="CT96">
            <v>4248108.1466666693</v>
          </cell>
          <cell r="CU96">
            <v>4219584.3166666692</v>
          </cell>
          <cell r="CV96">
            <v>4191060.4866666696</v>
          </cell>
          <cell r="CW96">
            <v>4162536.6566666695</v>
          </cell>
          <cell r="CX96">
            <v>4134012.8266666695</v>
          </cell>
          <cell r="CY96">
            <v>4105488.9966666698</v>
          </cell>
          <cell r="CZ96">
            <v>4076965.1666666693</v>
          </cell>
          <cell r="DA96">
            <v>4048441.3366666692</v>
          </cell>
        </row>
        <row r="186">
          <cell r="CA186">
            <v>76.462966000000023</v>
          </cell>
          <cell r="CB186">
            <v>24.414717000000003</v>
          </cell>
          <cell r="CC186">
            <v>25.191081250000003</v>
          </cell>
          <cell r="CD186">
            <v>55.365285540000009</v>
          </cell>
          <cell r="CE186">
            <v>73.749501430000009</v>
          </cell>
          <cell r="CF186">
            <v>100.50798787079998</v>
          </cell>
          <cell r="CG186">
            <v>136.58002084000003</v>
          </cell>
          <cell r="CH186">
            <v>182.78409664469743</v>
          </cell>
          <cell r="CI186">
            <v>221.3762129271482</v>
          </cell>
          <cell r="CJ186">
            <v>258.53350711210265</v>
          </cell>
          <cell r="CK186">
            <v>268.68230117677439</v>
          </cell>
          <cell r="CL186">
            <v>225.00042028784046</v>
          </cell>
        </row>
        <row r="187">
          <cell r="CA187">
            <v>187.53242</v>
          </cell>
          <cell r="CB187">
            <v>203.95719</v>
          </cell>
          <cell r="CC187">
            <v>187.53242</v>
          </cell>
          <cell r="CD187">
            <v>183.97458666666668</v>
          </cell>
          <cell r="CE187">
            <v>187.53241888888888</v>
          </cell>
          <cell r="CF187">
            <v>187.53241888888888</v>
          </cell>
          <cell r="CG187">
            <v>184.90012266666668</v>
          </cell>
          <cell r="CH187">
            <v>192.16009888888885</v>
          </cell>
          <cell r="CI187">
            <v>188.60226666666665</v>
          </cell>
          <cell r="CJ187">
            <v>192.16009888888885</v>
          </cell>
          <cell r="CK187">
            <v>192.16009888888885</v>
          </cell>
          <cell r="CL187">
            <v>185.04443444444442</v>
          </cell>
        </row>
        <row r="270">
          <cell r="FF270">
            <v>3236641.9515410024</v>
          </cell>
          <cell r="FG270">
            <v>3554716.6367216702</v>
          </cell>
        </row>
        <row r="272">
          <cell r="FF272">
            <v>415875.57768141665</v>
          </cell>
        </row>
      </sheetData>
      <sheetData sheetId="1">
        <row r="11">
          <cell r="U11">
            <v>6.7500000000000004E-2</v>
          </cell>
        </row>
        <row r="17">
          <cell r="U17">
            <v>6.6699999999999995E-2</v>
          </cell>
        </row>
        <row r="18">
          <cell r="U18">
            <v>4.9500000000000002E-2</v>
          </cell>
        </row>
        <row r="19">
          <cell r="U19">
            <v>5.9499999999999997E-2</v>
          </cell>
        </row>
        <row r="20">
          <cell r="U20">
            <v>6.3500000000000001E-2</v>
          </cell>
        </row>
        <row r="21">
          <cell r="U21">
            <v>5.5E-2</v>
          </cell>
        </row>
        <row r="22">
          <cell r="U22">
            <v>8.5000000000000006E-2</v>
          </cell>
        </row>
        <row r="23">
          <cell r="U23">
            <v>4.1500000000000002E-2</v>
          </cell>
        </row>
        <row r="24">
          <cell r="U24">
            <v>4.1250000000000002E-2</v>
          </cell>
        </row>
        <row r="33">
          <cell r="V33">
            <v>4681606.9570000023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"/>
      <sheetName val="Staff_1-59_Att23 - Kentucky 16-"/>
    </sheetNames>
    <sheetDataSet>
      <sheetData sheetId="0">
        <row r="17">
          <cell r="I17">
            <v>128</v>
          </cell>
          <cell r="J17">
            <v>128</v>
          </cell>
          <cell r="K17">
            <v>128</v>
          </cell>
          <cell r="L17">
            <v>128</v>
          </cell>
          <cell r="M17">
            <v>128</v>
          </cell>
          <cell r="N17">
            <v>128</v>
          </cell>
          <cell r="O17">
            <v>128</v>
          </cell>
          <cell r="P17">
            <v>128</v>
          </cell>
          <cell r="Q17">
            <v>128</v>
          </cell>
          <cell r="R17">
            <v>128</v>
          </cell>
        </row>
        <row r="18">
          <cell r="I18">
            <v>636</v>
          </cell>
          <cell r="J18">
            <v>901</v>
          </cell>
          <cell r="K18">
            <v>901</v>
          </cell>
          <cell r="L18">
            <v>901</v>
          </cell>
          <cell r="M18">
            <v>901</v>
          </cell>
          <cell r="N18">
            <v>901</v>
          </cell>
          <cell r="O18">
            <v>901</v>
          </cell>
          <cell r="P18">
            <v>901</v>
          </cell>
          <cell r="Q18">
            <v>907</v>
          </cell>
          <cell r="R18">
            <v>907</v>
          </cell>
        </row>
        <row r="19">
          <cell r="I19">
            <v>10792</v>
          </cell>
          <cell r="J19">
            <v>9630</v>
          </cell>
          <cell r="K19">
            <v>10104</v>
          </cell>
          <cell r="L19">
            <v>9388</v>
          </cell>
          <cell r="M19">
            <v>7731</v>
          </cell>
          <cell r="N19">
            <v>7540</v>
          </cell>
          <cell r="O19">
            <v>6950</v>
          </cell>
          <cell r="P19">
            <v>6878</v>
          </cell>
          <cell r="Q19">
            <v>6878</v>
          </cell>
          <cell r="R19">
            <v>6701</v>
          </cell>
        </row>
        <row r="20">
          <cell r="I20">
            <v>31877</v>
          </cell>
          <cell r="J20">
            <v>32962</v>
          </cell>
          <cell r="K20">
            <v>32836</v>
          </cell>
          <cell r="L20">
            <v>33144</v>
          </cell>
          <cell r="M20">
            <v>31189</v>
          </cell>
          <cell r="N20">
            <v>31202</v>
          </cell>
          <cell r="O20">
            <v>28807</v>
          </cell>
          <cell r="P20">
            <v>28746</v>
          </cell>
          <cell r="Q20">
            <v>25984</v>
          </cell>
          <cell r="R20">
            <v>26119</v>
          </cell>
        </row>
        <row r="21">
          <cell r="I21">
            <v>381623</v>
          </cell>
          <cell r="J21">
            <v>340200</v>
          </cell>
          <cell r="K21">
            <v>323036</v>
          </cell>
          <cell r="L21">
            <v>296493</v>
          </cell>
          <cell r="M21">
            <v>283474</v>
          </cell>
          <cell r="N21">
            <v>271463</v>
          </cell>
          <cell r="O21">
            <v>260621</v>
          </cell>
          <cell r="P21">
            <v>251843</v>
          </cell>
          <cell r="Q21">
            <v>241862</v>
          </cell>
          <cell r="R21">
            <v>230736</v>
          </cell>
        </row>
        <row r="22">
          <cell r="I22">
            <v>16683</v>
          </cell>
          <cell r="J22">
            <v>15589</v>
          </cell>
          <cell r="K22">
            <v>15238</v>
          </cell>
          <cell r="L22">
            <v>16000</v>
          </cell>
          <cell r="M22">
            <v>15103</v>
          </cell>
          <cell r="N22">
            <v>14696</v>
          </cell>
          <cell r="O22">
            <v>15422</v>
          </cell>
          <cell r="P22">
            <v>15165</v>
          </cell>
          <cell r="Q22">
            <v>14116</v>
          </cell>
          <cell r="R22">
            <v>16263</v>
          </cell>
        </row>
        <row r="23">
          <cell r="I23">
            <v>3279</v>
          </cell>
          <cell r="J23">
            <v>3279</v>
          </cell>
          <cell r="K23">
            <v>3279</v>
          </cell>
          <cell r="L23">
            <v>3279</v>
          </cell>
          <cell r="M23">
            <v>3337</v>
          </cell>
          <cell r="N23">
            <v>3337</v>
          </cell>
          <cell r="O23">
            <v>3337</v>
          </cell>
          <cell r="P23">
            <v>3337</v>
          </cell>
          <cell r="Q23">
            <v>3337</v>
          </cell>
          <cell r="R23">
            <v>3337</v>
          </cell>
        </row>
        <row r="26">
          <cell r="I26">
            <v>160839</v>
          </cell>
          <cell r="J26">
            <v>158300</v>
          </cell>
          <cell r="K26">
            <v>151849</v>
          </cell>
          <cell r="L26">
            <v>150795</v>
          </cell>
          <cell r="M26">
            <v>147462</v>
          </cell>
          <cell r="N26">
            <v>144016</v>
          </cell>
          <cell r="O26">
            <v>139212</v>
          </cell>
          <cell r="P26">
            <v>134463</v>
          </cell>
          <cell r="Q26">
            <v>128208</v>
          </cell>
          <cell r="R26">
            <v>124069</v>
          </cell>
        </row>
        <row r="29">
          <cell r="I29">
            <v>12708</v>
          </cell>
          <cell r="J29">
            <v>16578</v>
          </cell>
          <cell r="K29">
            <v>6006</v>
          </cell>
          <cell r="L29">
            <v>3306</v>
          </cell>
          <cell r="M29">
            <v>7197</v>
          </cell>
          <cell r="N29">
            <v>4851</v>
          </cell>
          <cell r="O29">
            <v>5215</v>
          </cell>
          <cell r="P29">
            <v>1897</v>
          </cell>
          <cell r="Q29">
            <v>3573</v>
          </cell>
          <cell r="R29">
            <v>1983</v>
          </cell>
        </row>
        <row r="43">
          <cell r="I43">
            <v>196695</v>
          </cell>
          <cell r="J43">
            <v>367984</v>
          </cell>
          <cell r="K43">
            <v>570929</v>
          </cell>
          <cell r="L43">
            <v>206396</v>
          </cell>
          <cell r="M43">
            <v>126100</v>
          </cell>
          <cell r="N43">
            <v>72550</v>
          </cell>
          <cell r="O43">
            <v>350542</v>
          </cell>
          <cell r="P43">
            <v>150599</v>
          </cell>
          <cell r="Q43">
            <v>382416</v>
          </cell>
          <cell r="R43">
            <v>144809</v>
          </cell>
        </row>
        <row r="44">
          <cell r="I44">
            <v>2455986</v>
          </cell>
          <cell r="J44">
            <v>2455671</v>
          </cell>
          <cell r="K44">
            <v>1956305</v>
          </cell>
          <cell r="L44">
            <v>2206117</v>
          </cell>
          <cell r="M44">
            <v>1809551</v>
          </cell>
          <cell r="N44">
            <v>2169400</v>
          </cell>
          <cell r="O44">
            <v>2119792</v>
          </cell>
          <cell r="P44">
            <v>2126315</v>
          </cell>
          <cell r="Q44">
            <v>2180362</v>
          </cell>
          <cell r="R44">
            <v>2183104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I46">
            <v>3086232</v>
          </cell>
          <cell r="J46">
            <v>2580409</v>
          </cell>
          <cell r="K46">
            <v>2359243</v>
          </cell>
          <cell r="L46">
            <v>2255421</v>
          </cell>
          <cell r="M46">
            <v>2178348</v>
          </cell>
          <cell r="N46">
            <v>2176761</v>
          </cell>
          <cell r="O46">
            <v>2052492</v>
          </cell>
          <cell r="P46">
            <v>1965754</v>
          </cell>
          <cell r="Q46">
            <v>1648098</v>
          </cell>
          <cell r="R46">
            <v>1602422</v>
          </cell>
        </row>
        <row r="51">
          <cell r="I51">
            <v>196882</v>
          </cell>
          <cell r="J51">
            <v>162968</v>
          </cell>
          <cell r="K51">
            <v>134778</v>
          </cell>
          <cell r="L51">
            <v>149662</v>
          </cell>
          <cell r="M51">
            <v>156816</v>
          </cell>
          <cell r="N51">
            <v>190356</v>
          </cell>
          <cell r="O51">
            <v>244308.47516</v>
          </cell>
          <cell r="P51">
            <v>203286.68382000001</v>
          </cell>
          <cell r="Q51">
            <v>208077.45324999999</v>
          </cell>
          <cell r="R51">
            <v>244452</v>
          </cell>
        </row>
        <row r="53">
          <cell r="I53">
            <v>166452</v>
          </cell>
          <cell r="J53">
            <v>139358</v>
          </cell>
          <cell r="K53">
            <v>112027</v>
          </cell>
          <cell r="L53">
            <v>126219</v>
          </cell>
          <cell r="M53">
            <v>136649</v>
          </cell>
          <cell r="N53">
            <v>176587</v>
          </cell>
          <cell r="O53">
            <v>224347.66394</v>
          </cell>
          <cell r="P53">
            <v>187733.05102000001</v>
          </cell>
          <cell r="Q53">
            <v>194747.19339000003</v>
          </cell>
          <cell r="R53">
            <v>225449</v>
          </cell>
        </row>
        <row r="56">
          <cell r="I56">
            <v>9671</v>
          </cell>
          <cell r="J56">
            <v>7060</v>
          </cell>
          <cell r="K56">
            <v>8157</v>
          </cell>
          <cell r="L56">
            <v>8094</v>
          </cell>
          <cell r="M56">
            <v>5654</v>
          </cell>
          <cell r="N56">
            <v>2889</v>
          </cell>
          <cell r="O56">
            <v>6985</v>
          </cell>
          <cell r="P56">
            <v>4307</v>
          </cell>
          <cell r="Q56">
            <v>3197.9320000000002</v>
          </cell>
          <cell r="R56">
            <v>5529</v>
          </cell>
        </row>
        <row r="57"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9">
          <cell r="I59">
            <v>139</v>
          </cell>
          <cell r="J59">
            <v>88</v>
          </cell>
          <cell r="K59">
            <v>101</v>
          </cell>
          <cell r="L59">
            <v>22</v>
          </cell>
          <cell r="M59">
            <v>286</v>
          </cell>
          <cell r="N59">
            <v>199</v>
          </cell>
          <cell r="O59">
            <v>160</v>
          </cell>
          <cell r="P59">
            <v>94</v>
          </cell>
          <cell r="Q59">
            <v>104</v>
          </cell>
          <cell r="R59">
            <v>69</v>
          </cell>
        </row>
        <row r="60">
          <cell r="I60">
            <v>2019</v>
          </cell>
          <cell r="J60">
            <v>2033</v>
          </cell>
          <cell r="K60">
            <v>2046</v>
          </cell>
          <cell r="L60">
            <v>2657</v>
          </cell>
          <cell r="M60">
            <v>1748</v>
          </cell>
          <cell r="N60">
            <v>2278</v>
          </cell>
          <cell r="O60">
            <v>2529</v>
          </cell>
          <cell r="P60">
            <v>1547</v>
          </cell>
          <cell r="Q60">
            <v>1732</v>
          </cell>
          <cell r="R60">
            <v>1206</v>
          </cell>
        </row>
        <row r="62">
          <cell r="I62">
            <v>6559</v>
          </cell>
          <cell r="J62">
            <v>6524</v>
          </cell>
          <cell r="K62">
            <v>5612</v>
          </cell>
          <cell r="L62">
            <v>5792</v>
          </cell>
          <cell r="M62">
            <v>6270</v>
          </cell>
          <cell r="N62">
            <v>6633</v>
          </cell>
          <cell r="O62">
            <v>6138</v>
          </cell>
          <cell r="P62">
            <v>6155</v>
          </cell>
          <cell r="Q62">
            <v>6782</v>
          </cell>
          <cell r="R62">
            <v>6097</v>
          </cell>
        </row>
        <row r="74">
          <cell r="I74">
            <v>1.49E-2</v>
          </cell>
          <cell r="J74">
            <v>1.17E-2</v>
          </cell>
          <cell r="K74">
            <v>1.2200000000000001E-2</v>
          </cell>
          <cell r="L74">
            <v>1.03E-2</v>
          </cell>
          <cell r="M74">
            <v>3.2300000000000002E-2</v>
          </cell>
          <cell r="N74">
            <v>6.8000000000000005E-2</v>
          </cell>
          <cell r="O74">
            <v>4.3999999999999997E-2</v>
          </cell>
          <cell r="P74">
            <v>5.6000000000000001E-2</v>
          </cell>
          <cell r="Q74">
            <v>0.05</v>
          </cell>
          <cell r="R74">
            <v>3.3000000000000002E-2</v>
          </cell>
        </row>
        <row r="75">
          <cell r="I75">
            <v>6.0299999999999999E-2</v>
          </cell>
          <cell r="J75">
            <v>6.2600000000000003E-2</v>
          </cell>
          <cell r="K75">
            <v>6.5100000000000005E-2</v>
          </cell>
          <cell r="L75">
            <v>6.7500000000000004E-2</v>
          </cell>
          <cell r="M75">
            <v>6.88E-2</v>
          </cell>
          <cell r="N75">
            <v>6.9000000000000006E-2</v>
          </cell>
          <cell r="O75">
            <v>6.0999999999999999E-2</v>
          </cell>
          <cell r="P75">
            <v>6.0999999999999999E-2</v>
          </cell>
          <cell r="Q75">
            <v>6.0999999999999999E-2</v>
          </cell>
          <cell r="R75">
            <v>5.6000000000000001E-2</v>
          </cell>
        </row>
        <row r="79">
          <cell r="I79">
            <v>4.6900000000000004</v>
          </cell>
          <cell r="J79">
            <v>3.91</v>
          </cell>
          <cell r="K79">
            <v>3.0571918341904318</v>
          </cell>
          <cell r="L79">
            <v>2.9660460457804634</v>
          </cell>
          <cell r="M79">
            <v>3.0043972293563703</v>
          </cell>
          <cell r="N79">
            <v>2.8387360945505051</v>
          </cell>
          <cell r="O79">
            <v>3.06</v>
          </cell>
          <cell r="P79">
            <v>2.75</v>
          </cell>
          <cell r="Q79">
            <v>2.5499999999999998</v>
          </cell>
          <cell r="R79">
            <v>2.59</v>
          </cell>
        </row>
        <row r="80">
          <cell r="I80">
            <v>4.7</v>
          </cell>
          <cell r="J80">
            <v>3.92</v>
          </cell>
          <cell r="K80">
            <v>3.0409960261804581</v>
          </cell>
          <cell r="L80">
            <v>2.9527909831987955</v>
          </cell>
          <cell r="M80">
            <v>2.9852512711754482</v>
          </cell>
          <cell r="N80">
            <v>2.8022744139729294</v>
          </cell>
          <cell r="O80">
            <v>3.12</v>
          </cell>
          <cell r="P80">
            <v>2.81</v>
          </cell>
          <cell r="Q80">
            <v>2.62</v>
          </cell>
          <cell r="R80">
            <v>2.64</v>
          </cell>
        </row>
        <row r="81">
          <cell r="I81">
            <v>3.24</v>
          </cell>
          <cell r="J81">
            <v>2.89</v>
          </cell>
          <cell r="K81">
            <v>2.3614121580460989</v>
          </cell>
          <cell r="L81">
            <v>2.2575233976506173</v>
          </cell>
          <cell r="M81">
            <v>2.2312955612628738</v>
          </cell>
          <cell r="N81">
            <v>2.200873963233271</v>
          </cell>
          <cell r="O81">
            <v>2.2599999999999998</v>
          </cell>
          <cell r="P81">
            <v>2.12</v>
          </cell>
          <cell r="Q81">
            <v>1.96</v>
          </cell>
          <cell r="R81">
            <v>1.99</v>
          </cell>
        </row>
        <row r="82">
          <cell r="I82">
            <v>4.32</v>
          </cell>
          <cell r="J82">
            <v>3.6</v>
          </cell>
          <cell r="K82">
            <v>2.84</v>
          </cell>
          <cell r="L82">
            <v>2.78</v>
          </cell>
          <cell r="M82">
            <v>2.78</v>
          </cell>
          <cell r="N82">
            <v>2.5499999999999998</v>
          </cell>
          <cell r="O82">
            <v>2.76</v>
          </cell>
          <cell r="P82">
            <v>2.687794631619842</v>
          </cell>
          <cell r="Q82">
            <v>2.4970447584226276</v>
          </cell>
          <cell r="R82">
            <v>2.54</v>
          </cell>
        </row>
        <row r="83">
          <cell r="I83">
            <v>3.25</v>
          </cell>
          <cell r="J83">
            <v>2.81</v>
          </cell>
          <cell r="K83">
            <v>2.3452163500361256</v>
          </cell>
          <cell r="L83">
            <v>2.244268335068949</v>
          </cell>
          <cell r="M83">
            <v>2.2121496030819521</v>
          </cell>
          <cell r="N83">
            <v>2.1644122826556949</v>
          </cell>
          <cell r="O83">
            <v>2.31</v>
          </cell>
          <cell r="P83">
            <v>2.16</v>
          </cell>
          <cell r="Q83">
            <v>2.0099999999999998</v>
          </cell>
          <cell r="R83">
            <v>2.02</v>
          </cell>
        </row>
        <row r="84">
          <cell r="I84">
            <v>3.02</v>
          </cell>
          <cell r="J84">
            <v>2.6</v>
          </cell>
          <cell r="K84">
            <v>2.2116799519301451</v>
          </cell>
          <cell r="L84">
            <v>2.1340881930445068</v>
          </cell>
          <cell r="M84">
            <v>2.0837815317021438</v>
          </cell>
          <cell r="N84">
            <v>2.1800332256334456</v>
          </cell>
          <cell r="O84">
            <v>2.15</v>
          </cell>
          <cell r="P84">
            <v>2.04</v>
          </cell>
          <cell r="Q84">
            <v>1.89</v>
          </cell>
          <cell r="R84">
            <v>1.92</v>
          </cell>
        </row>
        <row r="87">
          <cell r="H87" t="str">
            <v>A2</v>
          </cell>
          <cell r="I87" t="str">
            <v>A2</v>
          </cell>
          <cell r="J87" t="str">
            <v>Baa1</v>
          </cell>
          <cell r="K87" t="str">
            <v>Baa1</v>
          </cell>
          <cell r="L87" t="str">
            <v>Baa1</v>
          </cell>
          <cell r="M87" t="str">
            <v>Baa2</v>
          </cell>
          <cell r="N87" t="str">
            <v>Baa2</v>
          </cell>
          <cell r="O87" t="str">
            <v>Baa3</v>
          </cell>
          <cell r="P87" t="str">
            <v>Baa3</v>
          </cell>
          <cell r="Q87" t="str">
            <v>Baa3</v>
          </cell>
          <cell r="R87" t="str">
            <v>Baa3</v>
          </cell>
        </row>
        <row r="88">
          <cell r="H88" t="str">
            <v>A-</v>
          </cell>
          <cell r="I88" t="str">
            <v>A-</v>
          </cell>
          <cell r="J88" t="str">
            <v>A-</v>
          </cell>
          <cell r="K88" t="str">
            <v>BBB+</v>
          </cell>
          <cell r="L88" t="str">
            <v>BBB+</v>
          </cell>
          <cell r="M88" t="str">
            <v>BBB+</v>
          </cell>
          <cell r="N88" t="str">
            <v>BBB+</v>
          </cell>
          <cell r="O88" t="str">
            <v>BBB</v>
          </cell>
          <cell r="P88" t="str">
            <v>BBB</v>
          </cell>
          <cell r="Q88" t="str">
            <v>BBB</v>
          </cell>
          <cell r="R88" t="str">
            <v>BBB</v>
          </cell>
        </row>
        <row r="93">
          <cell r="I93">
            <v>100388</v>
          </cell>
          <cell r="J93">
            <v>90640</v>
          </cell>
          <cell r="K93">
            <v>90240</v>
          </cell>
          <cell r="L93">
            <v>90296</v>
          </cell>
          <cell r="M93">
            <v>90164</v>
          </cell>
          <cell r="N93">
            <v>92552</v>
          </cell>
          <cell r="O93">
            <v>90814</v>
          </cell>
          <cell r="P93">
            <v>89326</v>
          </cell>
          <cell r="Q93">
            <v>81739</v>
          </cell>
          <cell r="R93">
            <v>80539</v>
          </cell>
        </row>
        <row r="95">
          <cell r="I95">
            <v>97608</v>
          </cell>
          <cell r="J95">
            <v>91711</v>
          </cell>
          <cell r="K95">
            <v>91172</v>
          </cell>
          <cell r="L95">
            <v>90652</v>
          </cell>
          <cell r="M95">
            <v>92422</v>
          </cell>
          <cell r="N95">
            <v>91620</v>
          </cell>
          <cell r="O95">
            <v>89941</v>
          </cell>
          <cell r="P95">
            <v>87486</v>
          </cell>
          <cell r="Q95">
            <v>81173</v>
          </cell>
          <cell r="R95">
            <v>79012</v>
          </cell>
        </row>
        <row r="96">
          <cell r="I96">
            <v>2.96</v>
          </cell>
          <cell r="J96">
            <v>2.64</v>
          </cell>
          <cell r="K96">
            <v>2.37</v>
          </cell>
          <cell r="L96">
            <v>2.27</v>
          </cell>
          <cell r="M96">
            <v>2.2000000000000002</v>
          </cell>
          <cell r="N96">
            <v>2.0699999999999998</v>
          </cell>
          <cell r="O96">
            <v>1.99</v>
          </cell>
          <cell r="P96">
            <v>1.91</v>
          </cell>
          <cell r="Q96">
            <v>1.81</v>
          </cell>
          <cell r="R96">
            <v>1.72</v>
          </cell>
        </row>
        <row r="97">
          <cell r="I97">
            <v>1.48</v>
          </cell>
          <cell r="J97">
            <v>1.4</v>
          </cell>
          <cell r="K97">
            <v>1.38</v>
          </cell>
          <cell r="L97">
            <v>1.36</v>
          </cell>
          <cell r="M97">
            <v>1.34</v>
          </cell>
          <cell r="N97">
            <v>1.32</v>
          </cell>
          <cell r="O97">
            <v>1.3</v>
          </cell>
          <cell r="P97">
            <v>1.28</v>
          </cell>
          <cell r="Q97">
            <v>1.26</v>
          </cell>
          <cell r="R97">
            <v>1.24</v>
          </cell>
        </row>
        <row r="98">
          <cell r="I98">
            <v>1.48</v>
          </cell>
          <cell r="J98">
            <v>1.4</v>
          </cell>
          <cell r="K98">
            <v>1.38</v>
          </cell>
          <cell r="L98">
            <v>1.36</v>
          </cell>
          <cell r="M98">
            <v>1.34</v>
          </cell>
          <cell r="N98">
            <v>1.32</v>
          </cell>
          <cell r="O98">
            <v>1.3</v>
          </cell>
          <cell r="P98">
            <v>1.28</v>
          </cell>
          <cell r="Q98">
            <v>1.26</v>
          </cell>
          <cell r="R98">
            <v>1.24</v>
          </cell>
        </row>
        <row r="102">
          <cell r="I102">
            <v>47.06</v>
          </cell>
          <cell r="J102">
            <v>36.86</v>
          </cell>
          <cell r="K102">
            <v>35.4</v>
          </cell>
          <cell r="L102">
            <v>31.72</v>
          </cell>
          <cell r="M102">
            <v>30.06</v>
          </cell>
          <cell r="N102">
            <v>27.88</v>
          </cell>
          <cell r="O102">
            <v>29.46</v>
          </cell>
          <cell r="P102">
            <v>33.01</v>
          </cell>
          <cell r="Q102">
            <v>28.36</v>
          </cell>
          <cell r="R102">
            <v>27.43</v>
          </cell>
        </row>
        <row r="103">
          <cell r="I103">
            <v>41.08</v>
          </cell>
          <cell r="J103">
            <v>33.200000000000003</v>
          </cell>
          <cell r="K103">
            <v>30.97</v>
          </cell>
          <cell r="L103">
            <v>29.1</v>
          </cell>
          <cell r="M103">
            <v>27.39</v>
          </cell>
          <cell r="N103">
            <v>21.17</v>
          </cell>
          <cell r="O103">
            <v>26.11</v>
          </cell>
          <cell r="P103">
            <v>28.45</v>
          </cell>
          <cell r="Q103">
            <v>25.79</v>
          </cell>
          <cell r="R103">
            <v>24.85</v>
          </cell>
        </row>
        <row r="104">
          <cell r="I104">
            <v>48.01</v>
          </cell>
          <cell r="J104">
            <v>42.69</v>
          </cell>
          <cell r="K104">
            <v>33.15</v>
          </cell>
          <cell r="L104">
            <v>34.979999999999997</v>
          </cell>
          <cell r="M104">
            <v>29.52</v>
          </cell>
          <cell r="N104">
            <v>25.95</v>
          </cell>
          <cell r="O104">
            <v>28.96</v>
          </cell>
          <cell r="P104">
            <v>33</v>
          </cell>
          <cell r="Q104">
            <v>27</v>
          </cell>
          <cell r="R104">
            <v>29.09</v>
          </cell>
        </row>
        <row r="105">
          <cell r="I105">
            <v>44.19</v>
          </cell>
          <cell r="J105">
            <v>35.11</v>
          </cell>
          <cell r="K105">
            <v>30.6</v>
          </cell>
          <cell r="L105">
            <v>31.51</v>
          </cell>
          <cell r="M105">
            <v>26.52</v>
          </cell>
          <cell r="N105">
            <v>20.2</v>
          </cell>
          <cell r="O105">
            <v>25.09</v>
          </cell>
          <cell r="P105">
            <v>30.63</v>
          </cell>
          <cell r="Q105">
            <v>26.1</v>
          </cell>
          <cell r="R105">
            <v>26.19</v>
          </cell>
        </row>
        <row r="106">
          <cell r="I106">
            <v>53.4</v>
          </cell>
          <cell r="J106">
            <v>44.87</v>
          </cell>
          <cell r="K106">
            <v>35.07</v>
          </cell>
          <cell r="L106">
            <v>34.94</v>
          </cell>
          <cell r="M106">
            <v>29.98</v>
          </cell>
          <cell r="N106">
            <v>26.37</v>
          </cell>
          <cell r="O106">
            <v>28.54</v>
          </cell>
          <cell r="P106">
            <v>33.11</v>
          </cell>
          <cell r="Q106">
            <v>27.91</v>
          </cell>
          <cell r="R106">
            <v>28.87</v>
          </cell>
        </row>
        <row r="107">
          <cell r="I107">
            <v>46.94</v>
          </cell>
          <cell r="J107">
            <v>38.590000000000003</v>
          </cell>
          <cell r="K107">
            <v>30.91</v>
          </cell>
          <cell r="L107">
            <v>31.34</v>
          </cell>
          <cell r="M107">
            <v>26.41</v>
          </cell>
          <cell r="N107">
            <v>22.81</v>
          </cell>
          <cell r="O107">
            <v>25.81</v>
          </cell>
          <cell r="P107">
            <v>29.38</v>
          </cell>
          <cell r="Q107">
            <v>26</v>
          </cell>
          <cell r="R107">
            <v>25.94</v>
          </cell>
        </row>
        <row r="108">
          <cell r="I108">
            <v>52.68</v>
          </cell>
          <cell r="J108">
            <v>45.19</v>
          </cell>
          <cell r="K108">
            <v>36.94</v>
          </cell>
          <cell r="L108">
            <v>34.32</v>
          </cell>
          <cell r="M108">
            <v>29.81</v>
          </cell>
          <cell r="N108">
            <v>28.8</v>
          </cell>
          <cell r="O108">
            <v>28.25</v>
          </cell>
          <cell r="P108">
            <v>30.66</v>
          </cell>
          <cell r="Q108">
            <v>29.11</v>
          </cell>
          <cell r="R108">
            <v>29.76</v>
          </cell>
        </row>
        <row r="109">
          <cell r="I109">
            <v>47.01</v>
          </cell>
          <cell r="J109">
            <v>39.4</v>
          </cell>
          <cell r="K109">
            <v>34.94</v>
          </cell>
          <cell r="L109">
            <v>28.87</v>
          </cell>
          <cell r="M109">
            <v>26.82</v>
          </cell>
          <cell r="N109">
            <v>24.65</v>
          </cell>
          <cell r="O109">
            <v>25.49</v>
          </cell>
          <cell r="P109">
            <v>26.47</v>
          </cell>
          <cell r="Q109">
            <v>27.96</v>
          </cell>
          <cell r="R109">
            <v>28.23</v>
          </cell>
        </row>
        <row r="110">
          <cell r="I110">
            <v>31.62</v>
          </cell>
          <cell r="J110">
            <v>28.14</v>
          </cell>
          <cell r="K110">
            <v>25.876837186855614</v>
          </cell>
          <cell r="L110">
            <v>24.879991616290869</v>
          </cell>
          <cell r="M110">
            <v>23.569582999718683</v>
          </cell>
          <cell r="N110">
            <v>23.758578912901115</v>
          </cell>
          <cell r="O110">
            <v>22.820426724185854</v>
          </cell>
          <cell r="P110">
            <v>22.469355096815491</v>
          </cell>
          <cell r="Q110">
            <v>20.303524570978034</v>
          </cell>
          <cell r="R110">
            <v>19.899999999999999</v>
          </cell>
        </row>
        <row r="115">
          <cell r="I115">
            <v>0.10199999999999999</v>
          </cell>
          <cell r="J115">
            <v>9.8000000000000004E-2</v>
          </cell>
          <cell r="K115">
            <v>8.3297938918196424E-2</v>
          </cell>
          <cell r="L115">
            <v>8.5520016942695926E-2</v>
          </cell>
          <cell r="M115">
            <v>8.7185418321332489E-2</v>
          </cell>
          <cell r="N115">
            <v>8.6681501437724351E-2</v>
          </cell>
          <cell r="O115">
            <v>8.7999999999999995E-2</v>
          </cell>
          <cell r="P115">
            <v>8.7999999999999995E-2</v>
          </cell>
          <cell r="Q115">
            <v>8.8999999999999996E-2</v>
          </cell>
          <cell r="R115">
            <v>0.09</v>
          </cell>
        </row>
        <row r="116">
          <cell r="I116">
            <v>5.1999999999999998E-2</v>
          </cell>
          <cell r="J116">
            <v>4.8000000000000001E-2</v>
          </cell>
          <cell r="K116">
            <v>4.0231888705646007E-2</v>
          </cell>
          <cell r="L116">
            <v>4.3176826787451009E-2</v>
          </cell>
          <cell r="M116">
            <v>4.4499578680161404E-2</v>
          </cell>
          <cell r="N116">
            <v>4.2668457525681526E-2</v>
          </cell>
          <cell r="O116">
            <v>4.2999999999999997E-2</v>
          </cell>
          <cell r="P116">
            <v>4.2999999999999997E-2</v>
          </cell>
          <cell r="Q116">
            <v>3.9E-2</v>
          </cell>
          <cell r="R116">
            <v>3.933224430652113E-2</v>
          </cell>
        </row>
        <row r="117">
          <cell r="I117">
            <v>4.4999999999999998E-2</v>
          </cell>
          <cell r="J117">
            <v>4.2999999999999997E-2</v>
          </cell>
          <cell r="K117">
            <v>3.618310387082551E-2</v>
          </cell>
          <cell r="L117">
            <v>3.8142668443685655E-2</v>
          </cell>
          <cell r="M117">
            <v>4.1128106498813176E-2</v>
          </cell>
          <cell r="N117">
            <v>4.2747157694961804E-2</v>
          </cell>
          <cell r="O117">
            <v>4.4999999999999998E-2</v>
          </cell>
          <cell r="P117">
            <v>4.4999999999999998E-2</v>
          </cell>
          <cell r="Q117">
            <v>4.2000000000000003E-2</v>
          </cell>
          <cell r="R117">
            <v>4.5637607983685879E-2</v>
          </cell>
        </row>
        <row r="121">
          <cell r="I121">
            <v>11729</v>
          </cell>
          <cell r="J121">
            <v>10695</v>
          </cell>
          <cell r="K121">
            <v>8433</v>
          </cell>
          <cell r="L121">
            <v>10187</v>
          </cell>
          <cell r="M121">
            <v>10735</v>
          </cell>
          <cell r="N121">
            <v>10261</v>
          </cell>
          <cell r="O121">
            <v>10854.609817299999</v>
          </cell>
          <cell r="P121">
            <v>10384.574465399999</v>
          </cell>
          <cell r="Q121">
            <v>9751.4825102999985</v>
          </cell>
          <cell r="R121">
            <v>11112</v>
          </cell>
        </row>
        <row r="122">
          <cell r="I122">
            <v>5650</v>
          </cell>
          <cell r="J122">
            <v>5143</v>
          </cell>
          <cell r="K122">
            <v>3972</v>
          </cell>
          <cell r="L122">
            <v>4642</v>
          </cell>
          <cell r="M122">
            <v>5049</v>
          </cell>
          <cell r="N122">
            <v>4659</v>
          </cell>
          <cell r="O122">
            <v>5017.1545153999996</v>
          </cell>
          <cell r="P122">
            <v>4793.0605848999994</v>
          </cell>
          <cell r="Q122">
            <v>4642.0205508999979</v>
          </cell>
          <cell r="R122">
            <v>5362</v>
          </cell>
        </row>
        <row r="123">
          <cell r="I123">
            <v>810</v>
          </cell>
          <cell r="J123">
            <v>811</v>
          </cell>
          <cell r="K123">
            <v>995</v>
          </cell>
          <cell r="L123">
            <v>821</v>
          </cell>
          <cell r="M123">
            <v>724</v>
          </cell>
          <cell r="N123">
            <v>960</v>
          </cell>
          <cell r="O123">
            <v>1714.5599533</v>
          </cell>
          <cell r="P123">
            <v>1757.0290563999999</v>
          </cell>
          <cell r="Q123">
            <v>1327.230196</v>
          </cell>
          <cell r="R123">
            <v>2268</v>
          </cell>
        </row>
        <row r="124">
          <cell r="I124">
            <v>1234</v>
          </cell>
          <cell r="J124">
            <v>1179</v>
          </cell>
          <cell r="K124">
            <v>980</v>
          </cell>
          <cell r="L124">
            <v>1111</v>
          </cell>
          <cell r="M124">
            <v>1192</v>
          </cell>
          <cell r="N124">
            <v>1176</v>
          </cell>
          <cell r="O124">
            <v>1252.6995403999999</v>
          </cell>
          <cell r="P124">
            <v>1194.8405935000001</v>
          </cell>
          <cell r="Q124">
            <v>1261.0670940999998</v>
          </cell>
          <cell r="R124">
            <v>1479</v>
          </cell>
        </row>
        <row r="132">
          <cell r="I132">
            <v>21324</v>
          </cell>
          <cell r="J132">
            <v>18367</v>
          </cell>
          <cell r="K132">
            <v>17441</v>
          </cell>
          <cell r="L132">
            <v>16748</v>
          </cell>
          <cell r="M132">
            <v>17596</v>
          </cell>
          <cell r="N132">
            <v>17034</v>
          </cell>
          <cell r="O132">
            <v>18789.664000000001</v>
          </cell>
          <cell r="P132">
            <v>19493.048999999999</v>
          </cell>
          <cell r="Q132">
            <v>19334.194</v>
          </cell>
          <cell r="R132">
            <v>19589</v>
          </cell>
        </row>
        <row r="134">
          <cell r="I134">
            <v>3.5000000000000003E-2</v>
          </cell>
          <cell r="J134">
            <v>3.3099999999999997E-2</v>
          </cell>
          <cell r="K134">
            <v>3.49E-2</v>
          </cell>
          <cell r="L134">
            <v>3.5799999999999998E-2</v>
          </cell>
          <cell r="M134">
            <v>3.4000000000000002E-2</v>
          </cell>
          <cell r="N134">
            <v>3.4299999999999997E-2</v>
          </cell>
          <cell r="O134">
            <v>3.1732611870051476E-2</v>
          </cell>
          <cell r="P134">
            <v>3.4804141665331238E-2</v>
          </cell>
          <cell r="Q134">
            <v>3.69678612587429E-2</v>
          </cell>
          <cell r="R134">
            <v>3.7400000000000003E-2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eriod Actuals"/>
      <sheetName val="Staff_1-59_Att4- cap rate for d"/>
    </sheetNames>
    <sheetDataSet>
      <sheetData sheetId="0">
        <row r="15">
          <cell r="L15">
            <v>1</v>
          </cell>
        </row>
        <row r="17">
          <cell r="L17">
            <v>2.0000858405940236E-2</v>
          </cell>
        </row>
        <row r="21">
          <cell r="L21">
            <v>0.43606356895167786</v>
          </cell>
        </row>
        <row r="36">
          <cell r="L36">
            <v>0.43469400347292619</v>
          </cell>
        </row>
        <row r="38">
          <cell r="L38">
            <v>2.000120675986683E-2</v>
          </cell>
        </row>
        <row r="42">
          <cell r="L42">
            <v>0.43594523066092161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9 misc BS accts"/>
      <sheetName val="Div91 misc BS accts"/>
      <sheetName val="Div02 misc BS accts"/>
      <sheetName val="Div12 misc BS accts"/>
      <sheetName val="summary"/>
    </sheetNames>
    <sheetDataSet>
      <sheetData sheetId="0"/>
      <sheetData sheetId="1"/>
      <sheetData sheetId="2"/>
      <sheetData sheetId="3"/>
      <sheetData sheetId="4">
        <row r="6">
          <cell r="K6" t="str">
            <v>0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>
            <v>0</v>
          </cell>
          <cell r="Q6" t="str">
            <v xml:space="preserve"> 0</v>
          </cell>
          <cell r="R6" t="str">
            <v xml:space="preserve"> 0</v>
          </cell>
          <cell r="S6" t="str">
            <v xml:space="preserve"> 0</v>
          </cell>
          <cell r="T6" t="str">
            <v xml:space="preserve"> 0</v>
          </cell>
          <cell r="U6" t="str">
            <v xml:space="preserve"> 0</v>
          </cell>
          <cell r="V6" t="str">
            <v xml:space="preserve"> 0</v>
          </cell>
          <cell r="W6" t="str">
            <v xml:space="preserve"> 0</v>
          </cell>
          <cell r="Z6" t="str">
            <v xml:space="preserve"> 0</v>
          </cell>
          <cell r="AA6" t="str">
            <v xml:space="preserve"> 0</v>
          </cell>
          <cell r="AB6" t="str">
            <v xml:space="preserve"> 0</v>
          </cell>
          <cell r="AC6" t="str">
            <v xml:space="preserve"> 0</v>
          </cell>
          <cell r="AD6" t="str">
            <v xml:space="preserve"> 0</v>
          </cell>
          <cell r="AE6" t="str">
            <v xml:space="preserve"> 0</v>
          </cell>
          <cell r="AF6" t="str">
            <v xml:space="preserve"> 0</v>
          </cell>
          <cell r="AG6" t="str">
            <v xml:space="preserve"> 0</v>
          </cell>
          <cell r="AH6" t="str">
            <v xml:space="preserve"> 0</v>
          </cell>
          <cell r="AI6" t="str">
            <v xml:space="preserve"> 0</v>
          </cell>
          <cell r="AJ6" t="str">
            <v xml:space="preserve"> 0</v>
          </cell>
          <cell r="AK6" t="str">
            <v xml:space="preserve"> 0</v>
          </cell>
          <cell r="AL6" t="str">
            <v xml:space="preserve"> 0</v>
          </cell>
        </row>
        <row r="7">
          <cell r="K7">
            <v>-1.0000000004652065E-2</v>
          </cell>
          <cell r="L7">
            <v>1.0000000006016307E-2</v>
          </cell>
          <cell r="M7">
            <v>-9.9999999738429324E-3</v>
          </cell>
          <cell r="N7">
            <v>0</v>
          </cell>
          <cell r="O7">
            <v>2.9558577807620168E-12</v>
          </cell>
          <cell r="P7">
            <v>1.0000000010450094E-2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V7" t="str">
            <v>0</v>
          </cell>
          <cell r="W7" t="str">
            <v>0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0</v>
          </cell>
          <cell r="AG7" t="str">
            <v>0</v>
          </cell>
          <cell r="AH7" t="str">
            <v>0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</row>
        <row r="9">
          <cell r="K9">
            <v>24880762.84</v>
          </cell>
          <cell r="L9">
            <v>29603126.800000004</v>
          </cell>
          <cell r="M9">
            <v>26491689.34</v>
          </cell>
          <cell r="N9">
            <v>27939057.789999999</v>
          </cell>
          <cell r="O9">
            <v>25589870.34</v>
          </cell>
          <cell r="P9">
            <v>23862310.220000006</v>
          </cell>
          <cell r="Q9">
            <v>21066025.809999999</v>
          </cell>
          <cell r="R9">
            <v>25758680.050000001</v>
          </cell>
          <cell r="S9">
            <v>25758680.050000001</v>
          </cell>
          <cell r="T9">
            <v>25758680.050000001</v>
          </cell>
          <cell r="U9">
            <v>25758680.050000001</v>
          </cell>
          <cell r="V9">
            <v>25758680.050000001</v>
          </cell>
          <cell r="W9">
            <v>25758680.050000001</v>
          </cell>
          <cell r="Z9">
            <v>25758680.050000001</v>
          </cell>
          <cell r="AA9">
            <v>25758680.050000001</v>
          </cell>
          <cell r="AB9">
            <v>25758680.050000001</v>
          </cell>
          <cell r="AC9">
            <v>25758680.050000001</v>
          </cell>
          <cell r="AD9">
            <v>25758680.050000001</v>
          </cell>
          <cell r="AE9">
            <v>25758680.050000001</v>
          </cell>
          <cell r="AF9">
            <v>25758680.050000001</v>
          </cell>
          <cell r="AG9">
            <v>25758680.050000001</v>
          </cell>
          <cell r="AH9">
            <v>25758680.050000001</v>
          </cell>
          <cell r="AI9">
            <v>25758680.050000001</v>
          </cell>
          <cell r="AJ9">
            <v>25758680.050000001</v>
          </cell>
          <cell r="AK9">
            <v>25758680.050000001</v>
          </cell>
          <cell r="AL9">
            <v>25758680.050000001</v>
          </cell>
        </row>
        <row r="11"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 xml:space="preserve"> 0</v>
          </cell>
          <cell r="R11" t="str">
            <v xml:space="preserve"> 0</v>
          </cell>
          <cell r="S11" t="str">
            <v xml:space="preserve"> 0</v>
          </cell>
          <cell r="T11" t="str">
            <v xml:space="preserve"> 0</v>
          </cell>
          <cell r="U11" t="str">
            <v xml:space="preserve"> 0</v>
          </cell>
          <cell r="V11" t="str">
            <v xml:space="preserve"> 0</v>
          </cell>
          <cell r="W11" t="str">
            <v xml:space="preserve"> 0</v>
          </cell>
          <cell r="Z11" t="str">
            <v xml:space="preserve"> 0</v>
          </cell>
          <cell r="AA11" t="str">
            <v xml:space="preserve"> 0</v>
          </cell>
          <cell r="AB11" t="str">
            <v xml:space="preserve"> 0</v>
          </cell>
          <cell r="AC11" t="str">
            <v xml:space="preserve"> 0</v>
          </cell>
          <cell r="AD11" t="str">
            <v xml:space="preserve"> 0</v>
          </cell>
          <cell r="AE11" t="str">
            <v xml:space="preserve"> 0</v>
          </cell>
          <cell r="AF11" t="str">
            <v xml:space="preserve"> 0</v>
          </cell>
          <cell r="AG11" t="str">
            <v xml:space="preserve"> 0</v>
          </cell>
          <cell r="AH11" t="str">
            <v xml:space="preserve"> 0</v>
          </cell>
          <cell r="AI11" t="str">
            <v xml:space="preserve"> 0</v>
          </cell>
          <cell r="AJ11" t="str">
            <v xml:space="preserve"> 0</v>
          </cell>
          <cell r="AK11" t="str">
            <v xml:space="preserve"> 0</v>
          </cell>
          <cell r="AL11" t="str">
            <v xml:space="preserve"> 0</v>
          </cell>
        </row>
        <row r="12"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V12" t="str">
            <v>0</v>
          </cell>
          <cell r="W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</row>
        <row r="14"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 xml:space="preserve"> 0</v>
          </cell>
          <cell r="R14" t="str">
            <v xml:space="preserve"> 0</v>
          </cell>
          <cell r="S14" t="str">
            <v xml:space="preserve"> 0</v>
          </cell>
          <cell r="T14" t="str">
            <v xml:space="preserve"> 0</v>
          </cell>
          <cell r="U14" t="str">
            <v xml:space="preserve"> 0</v>
          </cell>
          <cell r="V14" t="str">
            <v xml:space="preserve"> 0</v>
          </cell>
          <cell r="W14" t="str">
            <v xml:space="preserve"> 0</v>
          </cell>
          <cell r="Z14" t="str">
            <v xml:space="preserve"> 0</v>
          </cell>
          <cell r="AA14" t="str">
            <v xml:space="preserve"> 0</v>
          </cell>
          <cell r="AB14" t="str">
            <v xml:space="preserve"> 0</v>
          </cell>
          <cell r="AC14" t="str">
            <v xml:space="preserve"> 0</v>
          </cell>
          <cell r="AD14" t="str">
            <v xml:space="preserve"> 0</v>
          </cell>
          <cell r="AE14" t="str">
            <v xml:space="preserve"> 0</v>
          </cell>
          <cell r="AF14" t="str">
            <v xml:space="preserve"> 0</v>
          </cell>
          <cell r="AG14" t="str">
            <v xml:space="preserve"> 0</v>
          </cell>
          <cell r="AH14" t="str">
            <v xml:space="preserve"> 0</v>
          </cell>
          <cell r="AI14" t="str">
            <v xml:space="preserve"> 0</v>
          </cell>
          <cell r="AJ14" t="str">
            <v xml:space="preserve"> 0</v>
          </cell>
          <cell r="AK14" t="str">
            <v xml:space="preserve"> 0</v>
          </cell>
          <cell r="AL14" t="str">
            <v xml:space="preserve"> 0</v>
          </cell>
        </row>
        <row r="16">
          <cell r="K16">
            <v>13310.38</v>
          </cell>
          <cell r="L16">
            <v>13310.38</v>
          </cell>
          <cell r="M16">
            <v>13310.38</v>
          </cell>
          <cell r="N16">
            <v>13310.38</v>
          </cell>
          <cell r="O16">
            <v>13310.38</v>
          </cell>
          <cell r="P16">
            <v>13310.38</v>
          </cell>
          <cell r="Q16">
            <v>12038.17</v>
          </cell>
          <cell r="R16">
            <v>13098.344999999999</v>
          </cell>
          <cell r="S16">
            <v>13098.344999999999</v>
          </cell>
          <cell r="T16">
            <v>13098.344999999999</v>
          </cell>
          <cell r="U16">
            <v>13098.344999999999</v>
          </cell>
          <cell r="V16">
            <v>13098.344999999999</v>
          </cell>
          <cell r="W16">
            <v>13098.344999999999</v>
          </cell>
          <cell r="Z16">
            <v>13098.344999999999</v>
          </cell>
          <cell r="AA16">
            <v>13098.344999999999</v>
          </cell>
          <cell r="AB16">
            <v>13098.344999999999</v>
          </cell>
          <cell r="AC16">
            <v>13098.344999999999</v>
          </cell>
          <cell r="AD16">
            <v>13098.344999999999</v>
          </cell>
          <cell r="AE16">
            <v>13098.344999999999</v>
          </cell>
          <cell r="AF16">
            <v>13098.344999999999</v>
          </cell>
          <cell r="AG16">
            <v>13098.344999999999</v>
          </cell>
          <cell r="AH16">
            <v>13098.344999999999</v>
          </cell>
          <cell r="AI16">
            <v>13098.344999999999</v>
          </cell>
          <cell r="AJ16">
            <v>13098.344999999999</v>
          </cell>
          <cell r="AK16">
            <v>13098.344999999999</v>
          </cell>
          <cell r="AL16">
            <v>13098.344999999999</v>
          </cell>
        </row>
        <row r="17">
          <cell r="K17">
            <v>2243598.2300000004</v>
          </cell>
          <cell r="L17">
            <v>2305206.9200000004</v>
          </cell>
          <cell r="M17">
            <v>2380226.9500000016</v>
          </cell>
          <cell r="N17">
            <v>2437363.2200000002</v>
          </cell>
          <cell r="O17">
            <v>2518066.62</v>
          </cell>
          <cell r="P17">
            <v>2603641.7300000004</v>
          </cell>
          <cell r="Q17">
            <v>2687184.2000000011</v>
          </cell>
          <cell r="R17">
            <v>2488614.9400000004</v>
          </cell>
          <cell r="S17">
            <v>2488614.9400000004</v>
          </cell>
          <cell r="T17">
            <v>2488614.9400000004</v>
          </cell>
          <cell r="U17">
            <v>2488614.9400000004</v>
          </cell>
          <cell r="V17">
            <v>2488614.9400000004</v>
          </cell>
          <cell r="W17">
            <v>2488614.9400000004</v>
          </cell>
          <cell r="Z17">
            <v>2488614.9400000004</v>
          </cell>
          <cell r="AA17">
            <v>2488614.9400000004</v>
          </cell>
          <cell r="AB17">
            <v>2488614.9400000004</v>
          </cell>
          <cell r="AC17">
            <v>2488614.9400000004</v>
          </cell>
          <cell r="AD17">
            <v>2488614.9400000004</v>
          </cell>
          <cell r="AE17">
            <v>2488614.9400000004</v>
          </cell>
          <cell r="AF17">
            <v>2488614.9400000004</v>
          </cell>
          <cell r="AG17">
            <v>2488614.9400000004</v>
          </cell>
          <cell r="AH17">
            <v>2488614.9400000004</v>
          </cell>
          <cell r="AI17">
            <v>2488614.9400000004</v>
          </cell>
          <cell r="AJ17">
            <v>2488614.9400000004</v>
          </cell>
          <cell r="AK17">
            <v>2488614.9400000004</v>
          </cell>
          <cell r="AL17">
            <v>1928124.151111111</v>
          </cell>
        </row>
        <row r="19">
          <cell r="K19">
            <v>17751.97</v>
          </cell>
          <cell r="L19">
            <v>1704.19</v>
          </cell>
          <cell r="M19">
            <v>391.6</v>
          </cell>
          <cell r="N19">
            <v>5084.2300000000005</v>
          </cell>
          <cell r="O19">
            <v>-2074.5</v>
          </cell>
          <cell r="P19">
            <v>-3546.17</v>
          </cell>
          <cell r="Q19">
            <v>10892.33</v>
          </cell>
          <cell r="R19">
            <v>2075.2800000000002</v>
          </cell>
          <cell r="S19">
            <v>2075.2800000000002</v>
          </cell>
          <cell r="T19">
            <v>2075.2800000000002</v>
          </cell>
          <cell r="U19">
            <v>2075.2800000000002</v>
          </cell>
          <cell r="V19">
            <v>2075.2800000000002</v>
          </cell>
          <cell r="W19">
            <v>2075.2800000000002</v>
          </cell>
          <cell r="Z19">
            <v>2075.2800000000002</v>
          </cell>
          <cell r="AA19">
            <v>2075.2800000000002</v>
          </cell>
          <cell r="AB19">
            <v>2075.2800000000002</v>
          </cell>
          <cell r="AC19">
            <v>2075.2800000000002</v>
          </cell>
          <cell r="AD19">
            <v>2075.2800000000002</v>
          </cell>
          <cell r="AE19">
            <v>2075.2800000000002</v>
          </cell>
          <cell r="AF19">
            <v>2075.2800000000002</v>
          </cell>
          <cell r="AG19">
            <v>2075.2800000000002</v>
          </cell>
          <cell r="AH19">
            <v>2075.2800000000002</v>
          </cell>
          <cell r="AI19">
            <v>2075.2800000000002</v>
          </cell>
          <cell r="AJ19">
            <v>2075.2800000000002</v>
          </cell>
          <cell r="AK19">
            <v>2075.2800000000002</v>
          </cell>
          <cell r="AL19">
            <v>16870.152857142857</v>
          </cell>
        </row>
        <row r="21">
          <cell r="K21">
            <v>5563.52</v>
          </cell>
          <cell r="L21">
            <v>5563.52</v>
          </cell>
          <cell r="M21">
            <v>5563.52</v>
          </cell>
          <cell r="N21">
            <v>5563.52</v>
          </cell>
          <cell r="O21">
            <v>5563.52</v>
          </cell>
          <cell r="P21">
            <v>5563.52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K22">
            <v>-500810.19</v>
          </cell>
          <cell r="L22">
            <v>-575556.61</v>
          </cell>
          <cell r="M22">
            <v>-611030.01</v>
          </cell>
          <cell r="N22">
            <v>-644324.44999999995</v>
          </cell>
          <cell r="O22">
            <v>-717349.28</v>
          </cell>
          <cell r="P22">
            <v>-852522.74</v>
          </cell>
          <cell r="Q22">
            <v>-1041852.7400000001</v>
          </cell>
          <cell r="R22">
            <v>-740439.30500000005</v>
          </cell>
          <cell r="S22">
            <v>-740439.30500000005</v>
          </cell>
          <cell r="T22">
            <v>-740439.30500000005</v>
          </cell>
          <cell r="U22">
            <v>-740439.30500000005</v>
          </cell>
          <cell r="V22">
            <v>-740439.30500000005</v>
          </cell>
          <cell r="W22">
            <v>-740439.30500000005</v>
          </cell>
          <cell r="Z22">
            <v>-740439.30500000005</v>
          </cell>
          <cell r="AA22">
            <v>-740439.30500000005</v>
          </cell>
          <cell r="AB22">
            <v>-740439.30500000005</v>
          </cell>
          <cell r="AC22">
            <v>-740439.30500000005</v>
          </cell>
          <cell r="AD22">
            <v>-740439.30500000005</v>
          </cell>
          <cell r="AE22">
            <v>-740439.30500000005</v>
          </cell>
          <cell r="AF22">
            <v>-740439.30500000005</v>
          </cell>
          <cell r="AG22">
            <v>-740439.30500000005</v>
          </cell>
          <cell r="AH22">
            <v>-740439.30500000005</v>
          </cell>
          <cell r="AI22">
            <v>-740439.30500000005</v>
          </cell>
          <cell r="AJ22">
            <v>-740439.30500000005</v>
          </cell>
          <cell r="AK22">
            <v>-740439.30500000005</v>
          </cell>
          <cell r="AL22">
            <v>-740439.30500000005</v>
          </cell>
        </row>
        <row r="24">
          <cell r="K24">
            <v>106038.11</v>
          </cell>
          <cell r="L24">
            <v>79528.570000000007</v>
          </cell>
          <cell r="M24">
            <v>53019.03</v>
          </cell>
          <cell r="N24">
            <v>26509.49</v>
          </cell>
          <cell r="O24">
            <v>374272.25</v>
          </cell>
          <cell r="P24">
            <v>343082.94</v>
          </cell>
          <cell r="Q24">
            <v>311893.63</v>
          </cell>
          <cell r="R24">
            <v>198050.98500000002</v>
          </cell>
          <cell r="S24">
            <v>198050.98500000002</v>
          </cell>
          <cell r="T24">
            <v>198050.98500000002</v>
          </cell>
          <cell r="U24">
            <v>198050.98500000002</v>
          </cell>
          <cell r="V24">
            <v>198050.98500000002</v>
          </cell>
          <cell r="W24">
            <v>198050.98500000002</v>
          </cell>
          <cell r="Z24">
            <v>198050.98500000002</v>
          </cell>
          <cell r="AA24">
            <v>198050.98500000002</v>
          </cell>
          <cell r="AB24">
            <v>198050.98500000002</v>
          </cell>
          <cell r="AC24">
            <v>198050.98500000002</v>
          </cell>
          <cell r="AD24">
            <v>198050.98500000002</v>
          </cell>
          <cell r="AE24">
            <v>198050.98500000002</v>
          </cell>
          <cell r="AF24">
            <v>198050.98500000002</v>
          </cell>
          <cell r="AG24">
            <v>198050.98500000002</v>
          </cell>
          <cell r="AH24">
            <v>198050.98500000002</v>
          </cell>
          <cell r="AI24">
            <v>198050.98500000002</v>
          </cell>
          <cell r="AJ24">
            <v>198050.98500000002</v>
          </cell>
          <cell r="AK24">
            <v>198050.98500000002</v>
          </cell>
          <cell r="AL24">
            <v>198050.98500000002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>
        <row r="11">
          <cell r="I11">
            <v>3769417.3919671541</v>
          </cell>
          <cell r="J11">
            <v>4724297.1339690275</v>
          </cell>
          <cell r="K11">
            <v>8123138.5437027179</v>
          </cell>
          <cell r="L11">
            <v>12098616.986870199</v>
          </cell>
          <cell r="M11">
            <v>13698809.21547522</v>
          </cell>
          <cell r="N11">
            <v>13428215.027079664</v>
          </cell>
          <cell r="T11">
            <v>4201268.6228973651</v>
          </cell>
          <cell r="U11">
            <v>3877378.1406009444</v>
          </cell>
          <cell r="V11">
            <v>3821140.5303760283</v>
          </cell>
          <cell r="W11">
            <v>3845344.2182956291</v>
          </cell>
          <cell r="X11">
            <v>4867276.7173198052</v>
          </cell>
          <cell r="Y11">
            <v>8345706.3607764542</v>
          </cell>
          <cell r="Z11">
            <v>12478366.792133136</v>
          </cell>
          <cell r="AA11">
            <v>14143816.410609035</v>
          </cell>
          <cell r="AB11">
            <v>13587612.431186128</v>
          </cell>
          <cell r="AC11">
            <v>12857074.65086887</v>
          </cell>
          <cell r="AD11">
            <v>8294818.5120518543</v>
          </cell>
          <cell r="AE11">
            <v>5503226.438238184</v>
          </cell>
          <cell r="AI11">
            <v>96045488.529456005</v>
          </cell>
          <cell r="AJ11">
            <v>97861094.092501938</v>
          </cell>
          <cell r="AK11">
            <v>99046032.478723392</v>
          </cell>
        </row>
        <row r="12">
          <cell r="I12">
            <v>1639454.8258469263</v>
          </cell>
          <cell r="J12">
            <v>1992149.4207614509</v>
          </cell>
          <cell r="K12">
            <v>3330415.8081927942</v>
          </cell>
          <cell r="L12">
            <v>4916730.1715475917</v>
          </cell>
          <cell r="M12">
            <v>5565913.3252026541</v>
          </cell>
          <cell r="N12">
            <v>5588310.9527499313</v>
          </cell>
          <cell r="T12">
            <v>1840387.2281287462</v>
          </cell>
          <cell r="U12">
            <v>1721802.6777845549</v>
          </cell>
          <cell r="V12">
            <v>1690360.4602324376</v>
          </cell>
          <cell r="W12">
            <v>1697937.2651399029</v>
          </cell>
          <cell r="X12">
            <v>2075771.1460299401</v>
          </cell>
          <cell r="Y12">
            <v>3426761.7529234421</v>
          </cell>
          <cell r="Z12">
            <v>5072886.3369821701</v>
          </cell>
          <cell r="AA12">
            <v>5747048.040673296</v>
          </cell>
          <cell r="AB12">
            <v>5642685.2126848055</v>
          </cell>
          <cell r="AC12">
            <v>5127401.3287257254</v>
          </cell>
          <cell r="AD12">
            <v>3455972.9054769436</v>
          </cell>
          <cell r="AE12">
            <v>2363430.8658952895</v>
          </cell>
          <cell r="AI12">
            <v>40019024.728671424</v>
          </cell>
          <cell r="AJ12">
            <v>40771832.974779055</v>
          </cell>
          <cell r="AK12">
            <v>41230020.749995179</v>
          </cell>
        </row>
        <row r="13">
          <cell r="I13">
            <v>158299.5864816691</v>
          </cell>
          <cell r="J13">
            <v>217207.52758358273</v>
          </cell>
          <cell r="K13">
            <v>293533.56325164129</v>
          </cell>
          <cell r="L13">
            <v>551760.90757530753</v>
          </cell>
          <cell r="M13">
            <v>721443.24045955297</v>
          </cell>
          <cell r="N13">
            <v>584655.65086196898</v>
          </cell>
          <cell r="T13">
            <v>248583.40862098554</v>
          </cell>
          <cell r="U13">
            <v>152992.77479779642</v>
          </cell>
          <cell r="V13">
            <v>213968.12308367409</v>
          </cell>
          <cell r="W13">
            <v>170704.17731956393</v>
          </cell>
          <cell r="X13">
            <v>236478.17521546903</v>
          </cell>
          <cell r="Y13">
            <v>306081.07370747271</v>
          </cell>
          <cell r="Z13">
            <v>575973.29941798933</v>
          </cell>
          <cell r="AA13">
            <v>753210.0668626983</v>
          </cell>
          <cell r="AB13">
            <v>591797.78317842353</v>
          </cell>
          <cell r="AC13">
            <v>960768.12766470993</v>
          </cell>
          <cell r="AD13">
            <v>361428.99045902566</v>
          </cell>
          <cell r="AE13">
            <v>308541.23944735265</v>
          </cell>
          <cell r="AI13">
            <v>4918707.7756084725</v>
          </cell>
          <cell r="AJ13">
            <v>5051038.1504665781</v>
          </cell>
          <cell r="AK13">
            <v>5134408.3128598938</v>
          </cell>
        </row>
        <row r="14">
          <cell r="I14">
            <v>228523.99519115966</v>
          </cell>
          <cell r="J14">
            <v>317447.81714359624</v>
          </cell>
          <cell r="K14">
            <v>616794.48648853321</v>
          </cell>
          <cell r="L14">
            <v>958234.88781337603</v>
          </cell>
          <cell r="M14">
            <v>1101190.0667949645</v>
          </cell>
          <cell r="N14">
            <v>1073586.2062504529</v>
          </cell>
          <cell r="T14">
            <v>263072.62355836708</v>
          </cell>
          <cell r="U14">
            <v>238326.25035950949</v>
          </cell>
          <cell r="V14">
            <v>230068.91782624542</v>
          </cell>
          <cell r="W14">
            <v>239375.29734039362</v>
          </cell>
          <cell r="X14">
            <v>334521.73625627509</v>
          </cell>
          <cell r="Y14">
            <v>637713.83683892328</v>
          </cell>
          <cell r="Z14">
            <v>992365.42750667315</v>
          </cell>
          <cell r="AA14">
            <v>1141046.8454879541</v>
          </cell>
          <cell r="AB14">
            <v>1085110.9884618123</v>
          </cell>
          <cell r="AC14">
            <v>1031152.8350119655</v>
          </cell>
          <cell r="AD14">
            <v>619398.38989390922</v>
          </cell>
          <cell r="AE14">
            <v>377455.89542681194</v>
          </cell>
          <cell r="AI14">
            <v>7218476.5913453251</v>
          </cell>
          <cell r="AJ14">
            <v>7379929.5372670051</v>
          </cell>
          <cell r="AK14">
            <v>7477314.0189663647</v>
          </cell>
        </row>
        <row r="15">
          <cell r="AI15">
            <v>148201697.62508124</v>
          </cell>
          <cell r="AJ15">
            <v>151063894.7550146</v>
          </cell>
          <cell r="AK15">
            <v>152887775.56054485</v>
          </cell>
        </row>
        <row r="18">
          <cell r="I18">
            <v>44791.383644271991</v>
          </cell>
          <cell r="J18">
            <v>45091.96811961769</v>
          </cell>
          <cell r="K18">
            <v>56262.756654776204</v>
          </cell>
          <cell r="L18">
            <v>96549.413802119583</v>
          </cell>
          <cell r="M18">
            <v>143697.08057829188</v>
          </cell>
          <cell r="N18">
            <v>162832.31072609653</v>
          </cell>
          <cell r="T18">
            <v>64359.484880450655</v>
          </cell>
          <cell r="U18">
            <v>50430.816667139916</v>
          </cell>
          <cell r="V18">
            <v>46693.460565744826</v>
          </cell>
          <cell r="W18">
            <v>45925.383208012761</v>
          </cell>
          <cell r="X18">
            <v>46253.95138550202</v>
          </cell>
          <cell r="Y18">
            <v>58211.918307893335</v>
          </cell>
          <cell r="Z18">
            <v>99267.594643623204</v>
          </cell>
          <cell r="AA18">
            <v>148251.73521202765</v>
          </cell>
          <cell r="AB18">
            <v>168154.64563045249</v>
          </cell>
          <cell r="AC18">
            <v>162432.45197172367</v>
          </cell>
          <cell r="AD18">
            <v>152013.47087655027</v>
          </cell>
          <cell r="AE18">
            <v>98892.265646552856</v>
          </cell>
        </row>
        <row r="19">
          <cell r="I19">
            <v>61445</v>
          </cell>
          <cell r="J19">
            <v>120749</v>
          </cell>
          <cell r="K19">
            <v>125695</v>
          </cell>
          <cell r="L19">
            <v>56798</v>
          </cell>
          <cell r="M19">
            <v>53861</v>
          </cell>
          <cell r="N19">
            <v>48764</v>
          </cell>
          <cell r="T19">
            <v>53147</v>
          </cell>
          <cell r="U19">
            <v>52352</v>
          </cell>
          <cell r="V19">
            <v>49875</v>
          </cell>
          <cell r="W19">
            <v>61445</v>
          </cell>
          <cell r="X19">
            <v>120749</v>
          </cell>
          <cell r="Y19">
            <v>125695</v>
          </cell>
          <cell r="Z19">
            <v>56798</v>
          </cell>
          <cell r="AA19">
            <v>53861</v>
          </cell>
          <cell r="AB19">
            <v>48764</v>
          </cell>
          <cell r="AC19">
            <v>61274</v>
          </cell>
          <cell r="AD19">
            <v>55115</v>
          </cell>
          <cell r="AE19">
            <v>56750</v>
          </cell>
        </row>
        <row r="20">
          <cell r="I20">
            <v>1050910.6894999999</v>
          </cell>
          <cell r="J20">
            <v>1190909.3454499999</v>
          </cell>
          <cell r="K20">
            <v>1319362.7035000001</v>
          </cell>
          <cell r="L20">
            <v>1329060.5179000003</v>
          </cell>
          <cell r="M20">
            <v>1473667.6765999999</v>
          </cell>
          <cell r="N20">
            <v>1424542.7038</v>
          </cell>
          <cell r="T20">
            <v>1054709.8433999999</v>
          </cell>
          <cell r="U20">
            <v>1013351.0695</v>
          </cell>
          <cell r="V20">
            <v>1068158.5239000001</v>
          </cell>
          <cell r="W20">
            <v>1050910.6894999999</v>
          </cell>
          <cell r="X20">
            <v>1190909.3454499999</v>
          </cell>
          <cell r="Y20">
            <v>1319362.7035000001</v>
          </cell>
          <cell r="Z20">
            <v>1329060.5179000003</v>
          </cell>
          <cell r="AA20">
            <v>1473667.6765999999</v>
          </cell>
          <cell r="AB20">
            <v>1424542.7038</v>
          </cell>
          <cell r="AC20">
            <v>1335401.2275</v>
          </cell>
          <cell r="AD20">
            <v>1140627.9108</v>
          </cell>
          <cell r="AE20">
            <v>1092901.6943000001</v>
          </cell>
          <cell r="AI20">
            <v>14493603.90615</v>
          </cell>
          <cell r="AJ20">
            <v>14493603.90615</v>
          </cell>
          <cell r="AK20">
            <v>14493603.90615</v>
          </cell>
        </row>
        <row r="21">
          <cell r="I21">
            <v>197356.58499999999</v>
          </cell>
          <cell r="J21">
            <v>213502.51250000004</v>
          </cell>
          <cell r="K21">
            <v>225558.07250000001</v>
          </cell>
          <cell r="L21">
            <v>235550.01249999998</v>
          </cell>
          <cell r="M21">
            <v>252288.6275</v>
          </cell>
          <cell r="N21">
            <v>241810.63249999995</v>
          </cell>
          <cell r="T21">
            <v>198243.80750000002</v>
          </cell>
          <cell r="U21">
            <v>198681.44750000004</v>
          </cell>
          <cell r="V21">
            <v>207453.83249999999</v>
          </cell>
          <cell r="W21">
            <v>197356.58499999999</v>
          </cell>
          <cell r="X21">
            <v>213502.51250000004</v>
          </cell>
          <cell r="Y21">
            <v>225558.07250000001</v>
          </cell>
          <cell r="Z21">
            <v>235550.01249999998</v>
          </cell>
          <cell r="AA21">
            <v>252288.6275</v>
          </cell>
          <cell r="AB21">
            <v>241810.63249999995</v>
          </cell>
          <cell r="AC21">
            <v>227856.71499999997</v>
          </cell>
          <cell r="AD21">
            <v>214959.52000000002</v>
          </cell>
          <cell r="AE21">
            <v>205466.29249999998</v>
          </cell>
        </row>
        <row r="23">
          <cell r="AI23">
            <v>167254825.9264887</v>
          </cell>
          <cell r="AJ23">
            <v>170139330.15094984</v>
          </cell>
          <cell r="AK23">
            <v>171977064.07164538</v>
          </cell>
        </row>
        <row r="25">
          <cell r="AI25">
            <v>79791951.291824654</v>
          </cell>
          <cell r="AJ25">
            <v>82529745.449445575</v>
          </cell>
          <cell r="AK25">
            <v>84229223.926242828</v>
          </cell>
        </row>
        <row r="32">
          <cell r="I32">
            <v>16574116.969999999</v>
          </cell>
          <cell r="J32">
            <v>20151685.449179217</v>
          </cell>
          <cell r="K32">
            <v>17745957.124034587</v>
          </cell>
          <cell r="L32">
            <v>12230225.891968817</v>
          </cell>
          <cell r="M32">
            <v>5459843.7922860514</v>
          </cell>
          <cell r="N32">
            <v>-778028.49315554556</v>
          </cell>
          <cell r="R32">
            <v>1169008.1587094581</v>
          </cell>
          <cell r="T32">
            <v>4645004.3815427171</v>
          </cell>
          <cell r="U32">
            <v>8190532.056521466</v>
          </cell>
          <cell r="V32">
            <v>11757873.520408602</v>
          </cell>
          <cell r="W32">
            <v>15327941.707909286</v>
          </cell>
          <cell r="X32">
            <v>18933457.302386105</v>
          </cell>
          <cell r="Y32">
            <v>16512572.782011667</v>
          </cell>
          <cell r="Z32">
            <v>11008223.967648663</v>
          </cell>
          <cell r="AA32">
            <v>4260470.2198755667</v>
          </cell>
          <cell r="AB32">
            <v>-1939025.2301004119</v>
          </cell>
          <cell r="AC32">
            <v>-6716020.3248425219</v>
          </cell>
          <cell r="AD32">
            <v>-2960534.9316205308</v>
          </cell>
          <cell r="AE32">
            <v>794950.46160146035</v>
          </cell>
        </row>
      </sheetData>
      <sheetData sheetId="3">
        <row r="11">
          <cell r="O11">
            <v>155669.75</v>
          </cell>
          <cell r="AF11">
            <v>156169.75</v>
          </cell>
          <cell r="AI11">
            <v>156303.08333333334</v>
          </cell>
          <cell r="AJ11">
            <v>156703.08333333334</v>
          </cell>
          <cell r="AK11">
            <v>157103.08333333334</v>
          </cell>
        </row>
        <row r="12">
          <cell r="O12">
            <v>17323.916666666668</v>
          </cell>
          <cell r="AF12">
            <v>17323.916666666668</v>
          </cell>
          <cell r="AI12">
            <v>17323.916666666664</v>
          </cell>
          <cell r="AJ12">
            <v>17323.916666666664</v>
          </cell>
          <cell r="AK12">
            <v>17323.916666666664</v>
          </cell>
        </row>
        <row r="13">
          <cell r="O13">
            <v>206</v>
          </cell>
          <cell r="AF13">
            <v>206</v>
          </cell>
          <cell r="AI13">
            <v>206</v>
          </cell>
          <cell r="AJ13">
            <v>206</v>
          </cell>
          <cell r="AK13">
            <v>206</v>
          </cell>
        </row>
        <row r="14">
          <cell r="O14">
            <v>1553.9166666666667</v>
          </cell>
          <cell r="AF14">
            <v>1553.9166666666667</v>
          </cell>
          <cell r="AI14">
            <v>1553.9166666666667</v>
          </cell>
          <cell r="AJ14">
            <v>1553.9166666666667</v>
          </cell>
          <cell r="AK14">
            <v>1553.9166666666667</v>
          </cell>
        </row>
        <row r="17">
          <cell r="O17">
            <v>10302984.841957554</v>
          </cell>
          <cell r="AF17">
            <v>10336506.97122786</v>
          </cell>
          <cell r="AI17">
            <v>10338382.30805376</v>
          </cell>
          <cell r="AJ17">
            <v>10364848.90313147</v>
          </cell>
          <cell r="AK17">
            <v>10391315.009909181</v>
          </cell>
        </row>
        <row r="18">
          <cell r="O18">
            <v>5105607.2176999999</v>
          </cell>
          <cell r="AF18">
            <v>5105607.2177000009</v>
          </cell>
          <cell r="AI18">
            <v>5105607.2177000009</v>
          </cell>
          <cell r="AJ18">
            <v>5105607.2177000009</v>
          </cell>
          <cell r="AK18">
            <v>5105607.2177000009</v>
          </cell>
        </row>
        <row r="19">
          <cell r="O19">
            <v>921685.30780000007</v>
          </cell>
          <cell r="AF19">
            <v>921685.30780000007</v>
          </cell>
          <cell r="AI19">
            <v>921685.30780000007</v>
          </cell>
          <cell r="AJ19">
            <v>921685.30780000007</v>
          </cell>
          <cell r="AK19">
            <v>921685.30780000007</v>
          </cell>
        </row>
        <row r="20">
          <cell r="O20">
            <v>1084704.2238</v>
          </cell>
          <cell r="AF20">
            <v>1084704.2238</v>
          </cell>
          <cell r="AI20">
            <v>1084704.2238</v>
          </cell>
          <cell r="AJ20">
            <v>1084704.2238</v>
          </cell>
          <cell r="AK20">
            <v>1084704.2238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dollars"/>
      <sheetName val="Staff_1-59_Att19 - gas storage-"/>
    </sheetNames>
    <sheetDataSet>
      <sheetData sheetId="0">
        <row r="112">
          <cell r="G112">
            <v>1321776.6200000001</v>
          </cell>
          <cell r="H112">
            <v>-3754264.8499999992</v>
          </cell>
          <cell r="I112">
            <v>1712587.7499999995</v>
          </cell>
          <cell r="J112">
            <v>1156435.0399999993</v>
          </cell>
          <cell r="K112">
            <v>6341727.5800000001</v>
          </cell>
          <cell r="L112">
            <v>9174321.3399999999</v>
          </cell>
          <cell r="M112">
            <v>12883047.880000001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sion 002"/>
      <sheetName val="Fed NOL"/>
      <sheetName val="TLock"/>
      <sheetName val="FAS115"/>
      <sheetName val="Division 012"/>
      <sheetName val="FY14 Essbase"/>
      <sheetName val="FY13 Essbase"/>
      <sheetName val="FY12 Essbase"/>
      <sheetName val="FY11 Essbase"/>
      <sheetName val="FY10 Essbase"/>
      <sheetName val="FY09 Essbase"/>
      <sheetName val="FY08 Essbase"/>
      <sheetName val="Non Provision Adjs"/>
      <sheetName val="6-2015"/>
      <sheetName val="3-2015"/>
      <sheetName val="12-2014"/>
      <sheetName val="9-2014"/>
      <sheetName val="6-2014"/>
      <sheetName val="3-2014"/>
      <sheetName val="12-2013"/>
      <sheetName val="9-2013"/>
      <sheetName val="6-2013"/>
      <sheetName val="03-2013"/>
      <sheetName val="12-2012"/>
      <sheetName val="09-2012"/>
      <sheetName val="06-2012"/>
      <sheetName val="03-2012"/>
      <sheetName val="12-2011"/>
      <sheetName val="9-2011"/>
      <sheetName val="6-2011"/>
      <sheetName val="3-2011"/>
      <sheetName val="12-2010"/>
      <sheetName val="9-30-10 ADIT"/>
      <sheetName val="6-2010"/>
      <sheetName val="3-2010"/>
      <sheetName val="12-2009"/>
      <sheetName val="9-2009"/>
      <sheetName val="9-2008"/>
      <sheetName val="Map"/>
      <sheetName val="Rate Div List"/>
      <sheetName val="Division 009"/>
      <sheetName val="Division 091"/>
      <sheetName val="FY15 Essbase"/>
      <sheetName val="Division 091 GL"/>
    </sheetNames>
    <sheetDataSet>
      <sheetData sheetId="0">
        <row r="128">
          <cell r="BS128">
            <v>544855185.28830004</v>
          </cell>
          <cell r="BT128">
            <v>501261725.55000001</v>
          </cell>
          <cell r="BU128">
            <v>501261725.55000001</v>
          </cell>
          <cell r="BV128">
            <v>501261725.55000001</v>
          </cell>
          <cell r="BW128">
            <v>484045051.19999999</v>
          </cell>
          <cell r="BX128">
            <v>484045051.19999999</v>
          </cell>
          <cell r="BY128">
            <v>484045051.19999999</v>
          </cell>
          <cell r="BZ128">
            <v>484045051.19999999</v>
          </cell>
          <cell r="CA128">
            <v>484045051.19999999</v>
          </cell>
          <cell r="CB128">
            <v>484045051.19999999</v>
          </cell>
          <cell r="CC128">
            <v>484045051.19999999</v>
          </cell>
          <cell r="CD128">
            <v>484045051.19999999</v>
          </cell>
          <cell r="CE128">
            <v>484045051.19999999</v>
          </cell>
        </row>
        <row r="129">
          <cell r="CH129">
            <v>484045051.19999999</v>
          </cell>
          <cell r="CI129">
            <v>484045051.19999999</v>
          </cell>
          <cell r="CJ129">
            <v>484045051.19999999</v>
          </cell>
          <cell r="CK129">
            <v>484045051.19999999</v>
          </cell>
          <cell r="CL129">
            <v>484045051.19999999</v>
          </cell>
          <cell r="CM129">
            <v>484045051.19999999</v>
          </cell>
          <cell r="CN129">
            <v>484045051.19999999</v>
          </cell>
          <cell r="CO129">
            <v>484045051.19999999</v>
          </cell>
          <cell r="CP129">
            <v>484045051.19999999</v>
          </cell>
          <cell r="CQ129">
            <v>484045051.19999999</v>
          </cell>
          <cell r="CR129">
            <v>484045051.19999999</v>
          </cell>
          <cell r="CS129">
            <v>484045051.19999999</v>
          </cell>
          <cell r="CT129">
            <v>484045051.19999999</v>
          </cell>
        </row>
        <row r="130"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  <row r="131">
          <cell r="BS131">
            <v>7382222.4299999997</v>
          </cell>
          <cell r="BT131">
            <v>-41989495.670000002</v>
          </cell>
          <cell r="BU131">
            <v>-41989495.670000002</v>
          </cell>
          <cell r="BV131">
            <v>-41989495.670000002</v>
          </cell>
          <cell r="BW131">
            <v>-48916706.130000003</v>
          </cell>
          <cell r="BX131">
            <v>-25640007.445015159</v>
          </cell>
          <cell r="BY131">
            <v>-25496903.564482722</v>
          </cell>
          <cell r="BZ131">
            <v>-26044091.677395936</v>
          </cell>
          <cell r="CA131">
            <v>-26034738.09545039</v>
          </cell>
          <cell r="CB131">
            <v>-26242417.628822673</v>
          </cell>
          <cell r="CC131">
            <v>-26788271.84999885</v>
          </cell>
          <cell r="CD131">
            <v>-26875529.26171007</v>
          </cell>
          <cell r="CE131">
            <v>-26896374.648054112</v>
          </cell>
          <cell r="CH131">
            <v>-26692353.744408976</v>
          </cell>
          <cell r="CI131">
            <v>-26542925.331635792</v>
          </cell>
          <cell r="CJ131">
            <v>-26378338.797771096</v>
          </cell>
          <cell r="CK131">
            <v>-26301989.362816121</v>
          </cell>
          <cell r="CL131">
            <v>-26236466.044171009</v>
          </cell>
          <cell r="CM131">
            <v>-26231489.905429967</v>
          </cell>
          <cell r="CN131">
            <v>-26368831.592140358</v>
          </cell>
          <cell r="CO131">
            <v>-26670881.523333784</v>
          </cell>
          <cell r="CP131">
            <v>-26711864.126222894</v>
          </cell>
          <cell r="CQ131">
            <v>-26720923.77786056</v>
          </cell>
          <cell r="CR131">
            <v>-26719602.724741708</v>
          </cell>
          <cell r="CS131">
            <v>-26703718.174580779</v>
          </cell>
          <cell r="CT131">
            <v>-26699471.99418591</v>
          </cell>
        </row>
        <row r="132">
          <cell r="BS132">
            <v>-1045620.86</v>
          </cell>
          <cell r="BT132">
            <v>-1064806.17</v>
          </cell>
          <cell r="BU132">
            <v>-1064806.17</v>
          </cell>
          <cell r="BV132">
            <v>-1064806.17</v>
          </cell>
          <cell r="BW132">
            <v>-471430.18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</row>
        <row r="133">
          <cell r="BS133">
            <v>26493577.879999999</v>
          </cell>
          <cell r="BT133">
            <v>31902181.489999998</v>
          </cell>
          <cell r="BU133">
            <v>23762155.690000001</v>
          </cell>
          <cell r="BV133">
            <v>18780892.93</v>
          </cell>
          <cell r="BW133">
            <v>2614806</v>
          </cell>
          <cell r="BX133">
            <v>22822184.905000001</v>
          </cell>
          <cell r="BY133">
            <v>22822184.905000001</v>
          </cell>
          <cell r="BZ133">
            <v>22822184.905000001</v>
          </cell>
          <cell r="CA133">
            <v>22822184.905000001</v>
          </cell>
          <cell r="CB133">
            <v>22822184.905000001</v>
          </cell>
          <cell r="CC133">
            <v>22822184.905000001</v>
          </cell>
          <cell r="CD133">
            <v>22822184.905000001</v>
          </cell>
          <cell r="CE133">
            <v>22822184.905000001</v>
          </cell>
          <cell r="CH133">
            <v>22822184.905000001</v>
          </cell>
          <cell r="CI133">
            <v>22822184.905000001</v>
          </cell>
          <cell r="CJ133">
            <v>22822184.905000001</v>
          </cell>
          <cell r="CK133">
            <v>22822184.905000001</v>
          </cell>
          <cell r="CL133">
            <v>22822184.905000001</v>
          </cell>
          <cell r="CM133">
            <v>22822184.905000001</v>
          </cell>
          <cell r="CN133">
            <v>22822184.905000001</v>
          </cell>
          <cell r="CO133">
            <v>22822184.905000001</v>
          </cell>
          <cell r="CP133">
            <v>22822184.905000001</v>
          </cell>
          <cell r="CQ133">
            <v>22822184.905000001</v>
          </cell>
          <cell r="CR133">
            <v>22822184.905000001</v>
          </cell>
          <cell r="CS133">
            <v>22822184.905000001</v>
          </cell>
          <cell r="CT133">
            <v>22822184.905000001</v>
          </cell>
        </row>
        <row r="134">
          <cell r="BS134">
            <v>0</v>
          </cell>
          <cell r="BT134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</row>
        <row r="135">
          <cell r="BS135">
            <v>1781731.91</v>
          </cell>
          <cell r="BT135">
            <v>2145468.4300000002</v>
          </cell>
          <cell r="BU135">
            <v>1598039.81</v>
          </cell>
          <cell r="BV135">
            <v>1263042.6100000001</v>
          </cell>
          <cell r="BW135">
            <v>175849.65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</row>
      </sheetData>
      <sheetData sheetId="1"/>
      <sheetData sheetId="2"/>
      <sheetData sheetId="3"/>
      <sheetData sheetId="4">
        <row r="124">
          <cell r="BS124">
            <v>-385050.96</v>
          </cell>
          <cell r="BT124">
            <v>-385050.96</v>
          </cell>
          <cell r="BU124">
            <v>-385050.96</v>
          </cell>
          <cell r="BV124">
            <v>-385050.96</v>
          </cell>
          <cell r="BW124">
            <v>-385050.96</v>
          </cell>
          <cell r="BX124">
            <v>-410946.2</v>
          </cell>
          <cell r="BY124">
            <v>-410946.2</v>
          </cell>
          <cell r="BZ124">
            <v>-410946.2</v>
          </cell>
          <cell r="CA124">
            <v>-410946.2</v>
          </cell>
          <cell r="CB124">
            <v>-410946.2</v>
          </cell>
          <cell r="CC124">
            <v>-410946.2</v>
          </cell>
          <cell r="CD124">
            <v>-410946.2</v>
          </cell>
          <cell r="CE124">
            <v>-410946.2</v>
          </cell>
          <cell r="CH124">
            <v>-410946.2</v>
          </cell>
          <cell r="CI124">
            <v>-410946.2</v>
          </cell>
          <cell r="CJ124">
            <v>-410946.2</v>
          </cell>
          <cell r="CK124">
            <v>-410946.2</v>
          </cell>
          <cell r="CL124">
            <v>-410946.2</v>
          </cell>
          <cell r="CM124">
            <v>-410946.2</v>
          </cell>
          <cell r="CN124">
            <v>-410946.2</v>
          </cell>
          <cell r="CO124">
            <v>-410946.2</v>
          </cell>
          <cell r="CP124">
            <v>-410946.2</v>
          </cell>
          <cell r="CQ124">
            <v>-410946.2</v>
          </cell>
          <cell r="CR124">
            <v>-410946.2</v>
          </cell>
          <cell r="CS124">
            <v>-410946.2</v>
          </cell>
          <cell r="CT124">
            <v>-410946.2</v>
          </cell>
        </row>
        <row r="125">
          <cell r="BS125">
            <v>-25895.24</v>
          </cell>
          <cell r="BT125">
            <v>-25895.24</v>
          </cell>
          <cell r="BU125">
            <v>-25895.24</v>
          </cell>
          <cell r="BV125">
            <v>-25895.24</v>
          </cell>
          <cell r="BW125">
            <v>-25895.24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-28563109.829999998</v>
          </cell>
          <cell r="BT126">
            <v>-28563109.829999998</v>
          </cell>
          <cell r="BU126">
            <v>-28563109.829999998</v>
          </cell>
          <cell r="BV126">
            <v>-28563109.829999998</v>
          </cell>
          <cell r="BW126">
            <v>-28563109.829999998</v>
          </cell>
          <cell r="BX126">
            <v>-30405842.113077439</v>
          </cell>
          <cell r="BY126">
            <v>-30446132.828228064</v>
          </cell>
          <cell r="BZ126">
            <v>-30442639.107992616</v>
          </cell>
          <cell r="CA126">
            <v>-30334938.3994147</v>
          </cell>
          <cell r="CB126">
            <v>-30227262.420225274</v>
          </cell>
          <cell r="CC126">
            <v>-30119703.409056645</v>
          </cell>
          <cell r="CD126">
            <v>-30013296.446212091</v>
          </cell>
          <cell r="CE126">
            <v>-29890316.218740851</v>
          </cell>
          <cell r="CH126">
            <v>-29521515.460608348</v>
          </cell>
          <cell r="CI126">
            <v>-30931583.386454459</v>
          </cell>
          <cell r="CJ126">
            <v>-30804951.777786776</v>
          </cell>
          <cell r="CK126">
            <v>-30684769.042460054</v>
          </cell>
          <cell r="CL126">
            <v>-30604956.06944165</v>
          </cell>
          <cell r="CM126">
            <v>-30489408.676793013</v>
          </cell>
          <cell r="CN126">
            <v>-30389008.110577829</v>
          </cell>
          <cell r="CO126">
            <v>-30304328.73639014</v>
          </cell>
          <cell r="CP126">
            <v>-30235828.553681541</v>
          </cell>
          <cell r="CQ126">
            <v>-30175552.049579576</v>
          </cell>
          <cell r="CR126">
            <v>-30133942.262698594</v>
          </cell>
          <cell r="CS126">
            <v>-30107311.181495354</v>
          </cell>
          <cell r="CT126">
            <v>-30098212.080159146</v>
          </cell>
        </row>
        <row r="127">
          <cell r="BS127">
            <v>-1920910.89</v>
          </cell>
          <cell r="BT127">
            <v>-1920910.89</v>
          </cell>
          <cell r="BU127">
            <v>-1920910.89</v>
          </cell>
          <cell r="BV127">
            <v>-1920910.89</v>
          </cell>
          <cell r="BW127">
            <v>-1920910.89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</row>
        <row r="129"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24">
          <cell r="BS124">
            <v>471426.47</v>
          </cell>
          <cell r="BT124">
            <v>471426.47</v>
          </cell>
          <cell r="BU124">
            <v>471426.47</v>
          </cell>
          <cell r="BV124">
            <v>471426.47</v>
          </cell>
          <cell r="BW124">
            <v>471426.47</v>
          </cell>
          <cell r="BX124">
            <v>1904270.3399999999</v>
          </cell>
          <cell r="BY124">
            <v>1904270.3399999999</v>
          </cell>
          <cell r="BZ124">
            <v>1904270.3399999999</v>
          </cell>
          <cell r="CA124">
            <v>1904270.3399999999</v>
          </cell>
          <cell r="CB124">
            <v>1904270.3399999999</v>
          </cell>
          <cell r="CC124">
            <v>1904270.3399999999</v>
          </cell>
          <cell r="CD124">
            <v>1904270.3399999999</v>
          </cell>
          <cell r="CE124">
            <v>1904270.3399999999</v>
          </cell>
          <cell r="CH124">
            <v>1904270.3399999999</v>
          </cell>
          <cell r="CI124">
            <v>1904270.3399999999</v>
          </cell>
          <cell r="CJ124">
            <v>1904270.3399999999</v>
          </cell>
          <cell r="CK124">
            <v>1904270.3399999999</v>
          </cell>
          <cell r="CL124">
            <v>1904270.3399999999</v>
          </cell>
          <cell r="CM124">
            <v>1904270.3399999999</v>
          </cell>
          <cell r="CN124">
            <v>1904270.3399999999</v>
          </cell>
          <cell r="CO124">
            <v>1904270.3399999999</v>
          </cell>
          <cell r="CP124">
            <v>1904270.3399999999</v>
          </cell>
          <cell r="CQ124">
            <v>1904270.3399999999</v>
          </cell>
          <cell r="CR124">
            <v>1904270.3399999999</v>
          </cell>
          <cell r="CS124">
            <v>1904270.3399999999</v>
          </cell>
          <cell r="CT124">
            <v>1904270.3399999999</v>
          </cell>
        </row>
        <row r="125">
          <cell r="BS125">
            <v>1432843.87</v>
          </cell>
          <cell r="BT125">
            <v>1432843.87</v>
          </cell>
          <cell r="BU125">
            <v>1432843.87</v>
          </cell>
          <cell r="BV125">
            <v>1432843.87</v>
          </cell>
          <cell r="BW125">
            <v>1432843.87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-65105020.840000004</v>
          </cell>
          <cell r="BT126">
            <v>-65105020.840000004</v>
          </cell>
          <cell r="BU126">
            <v>-65105020.840000004</v>
          </cell>
          <cell r="BV126">
            <v>-65105020.840000004</v>
          </cell>
          <cell r="BW126">
            <v>-65105020.840000004</v>
          </cell>
          <cell r="BX126">
            <v>-72723561.01253204</v>
          </cell>
          <cell r="BY126">
            <v>-73774986.304776028</v>
          </cell>
          <cell r="BZ126">
            <v>-77299516.29034844</v>
          </cell>
          <cell r="CA126">
            <v>-78255510.703413785</v>
          </cell>
          <cell r="CB126">
            <v>-79345539.722192496</v>
          </cell>
          <cell r="CC126">
            <v>-80736672.436113358</v>
          </cell>
          <cell r="CD126">
            <v>-81696778.952225372</v>
          </cell>
          <cell r="CE126">
            <v>-82754429.15566054</v>
          </cell>
          <cell r="CH126">
            <v>-86576320.299222499</v>
          </cell>
          <cell r="CI126">
            <v>-92508735.930531621</v>
          </cell>
          <cell r="CJ126">
            <v>-93755783.454922184</v>
          </cell>
          <cell r="CK126">
            <v>-94657456.219651341</v>
          </cell>
          <cell r="CL126">
            <v>-95718043.595163092</v>
          </cell>
          <cell r="CM126">
            <v>-96327522.297763616</v>
          </cell>
          <cell r="CN126">
            <v>-96965706.890161738</v>
          </cell>
          <cell r="CO126">
            <v>-97612342.280179217</v>
          </cell>
          <cell r="CP126">
            <v>-98091259.943018571</v>
          </cell>
          <cell r="CQ126">
            <v>-98479190.618180528</v>
          </cell>
          <cell r="CR126">
            <v>-98777047.536207855</v>
          </cell>
          <cell r="CS126">
            <v>-98941650.182732195</v>
          </cell>
          <cell r="CT126">
            <v>-99006302.007768542</v>
          </cell>
        </row>
        <row r="127">
          <cell r="BS127">
            <v>-4378407.83</v>
          </cell>
          <cell r="BT127">
            <v>-4378407.83</v>
          </cell>
          <cell r="BU127">
            <v>-4378407.83</v>
          </cell>
          <cell r="BV127">
            <v>-4378407.83</v>
          </cell>
          <cell r="BW127">
            <v>-4378407.83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-1242976.77</v>
          </cell>
          <cell r="BT128">
            <v>-1242976.77</v>
          </cell>
          <cell r="BU128">
            <v>-1242976.77</v>
          </cell>
          <cell r="BV128">
            <v>-1242976.77</v>
          </cell>
          <cell r="BW128">
            <v>-1242976.77</v>
          </cell>
          <cell r="BX128">
            <v>-96035.15</v>
          </cell>
          <cell r="BY128">
            <v>-96035.15</v>
          </cell>
          <cell r="BZ128">
            <v>-96035.15</v>
          </cell>
          <cell r="CA128">
            <v>-96035.15</v>
          </cell>
          <cell r="CB128">
            <v>-96035.15</v>
          </cell>
          <cell r="CC128">
            <v>-96035.15</v>
          </cell>
          <cell r="CD128">
            <v>-96035.15</v>
          </cell>
          <cell r="CE128">
            <v>-96035.15</v>
          </cell>
          <cell r="CH128">
            <v>-96035.15</v>
          </cell>
          <cell r="CI128">
            <v>-96035.15</v>
          </cell>
          <cell r="CJ128">
            <v>-96035.15</v>
          </cell>
          <cell r="CK128">
            <v>-96035.15</v>
          </cell>
          <cell r="CL128">
            <v>-96035.15</v>
          </cell>
          <cell r="CM128">
            <v>-96035.15</v>
          </cell>
          <cell r="CN128">
            <v>-96035.15</v>
          </cell>
          <cell r="CO128">
            <v>-96035.15</v>
          </cell>
          <cell r="CP128">
            <v>-96035.15</v>
          </cell>
          <cell r="CQ128">
            <v>-96035.15</v>
          </cell>
          <cell r="CR128">
            <v>-96035.15</v>
          </cell>
          <cell r="CS128">
            <v>-96035.15</v>
          </cell>
          <cell r="CT128">
            <v>-96035.15</v>
          </cell>
        </row>
        <row r="129">
          <cell r="BS129">
            <v>0</v>
          </cell>
          <cell r="BT129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</row>
        <row r="130">
          <cell r="BS130">
            <v>-83592</v>
          </cell>
          <cell r="BT130">
            <v>-83592</v>
          </cell>
          <cell r="BU130">
            <v>-83592</v>
          </cell>
          <cell r="BV130">
            <v>-83592</v>
          </cell>
          <cell r="BW130">
            <v>-83592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</row>
      </sheetData>
      <sheetData sheetId="41">
        <row r="124">
          <cell r="BS124">
            <v>6818758.7199999997</v>
          </cell>
          <cell r="BT124">
            <v>6818758.7199999997</v>
          </cell>
          <cell r="BU124">
            <v>6818758.7199999997</v>
          </cell>
          <cell r="BV124">
            <v>6818758.7199999997</v>
          </cell>
          <cell r="BW124">
            <v>6818758.7199999997</v>
          </cell>
          <cell r="BX124">
            <v>6664194.4000000004</v>
          </cell>
          <cell r="BY124">
            <v>6664194.4000000004</v>
          </cell>
          <cell r="BZ124">
            <v>6664194.4000000004</v>
          </cell>
          <cell r="CA124">
            <v>6664194.4000000004</v>
          </cell>
          <cell r="CB124">
            <v>6664194.4000000004</v>
          </cell>
          <cell r="CC124">
            <v>6664194.4000000004</v>
          </cell>
          <cell r="CD124">
            <v>6664194.4000000004</v>
          </cell>
          <cell r="CE124">
            <v>6664194.4000000004</v>
          </cell>
          <cell r="CH124">
            <v>6664194.4000000004</v>
          </cell>
          <cell r="CI124">
            <v>6664194.4000000004</v>
          </cell>
          <cell r="CJ124">
            <v>6664194.4000000004</v>
          </cell>
          <cell r="CK124">
            <v>6664194.4000000004</v>
          </cell>
          <cell r="CL124">
            <v>6664194.4000000004</v>
          </cell>
          <cell r="CM124">
            <v>6664194.4000000004</v>
          </cell>
          <cell r="CN124">
            <v>6664194.4000000004</v>
          </cell>
          <cell r="CO124">
            <v>6664194.4000000004</v>
          </cell>
          <cell r="CP124">
            <v>6664194.4000000004</v>
          </cell>
          <cell r="CQ124">
            <v>6664194.4000000004</v>
          </cell>
          <cell r="CR124">
            <v>6664194.4000000004</v>
          </cell>
          <cell r="CS124">
            <v>6664194.4000000004</v>
          </cell>
          <cell r="CT124">
            <v>6664194.4000000004</v>
          </cell>
        </row>
        <row r="125">
          <cell r="BS125">
            <v>458571.49</v>
          </cell>
          <cell r="BT125">
            <v>458571.49</v>
          </cell>
          <cell r="BU125">
            <v>458571.49</v>
          </cell>
          <cell r="BV125">
            <v>458571.49</v>
          </cell>
          <cell r="BW125">
            <v>458571.49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</row>
        <row r="126">
          <cell r="BS126">
            <v>-10408347.91</v>
          </cell>
          <cell r="BT126">
            <v>-16558904.24</v>
          </cell>
          <cell r="BU126">
            <v>-16558904.24</v>
          </cell>
          <cell r="BV126">
            <v>-16558904.24</v>
          </cell>
          <cell r="BW126">
            <v>-10654478.220000001</v>
          </cell>
          <cell r="BX126">
            <v>-5471535.5206801444</v>
          </cell>
          <cell r="BY126">
            <v>-5425163.31744189</v>
          </cell>
          <cell r="BZ126">
            <v>-5447345.2972033788</v>
          </cell>
          <cell r="CA126">
            <v>-5445300.4229961839</v>
          </cell>
          <cell r="CB126">
            <v>-5443255.5487889871</v>
          </cell>
          <cell r="CC126">
            <v>-5441210.6745817903</v>
          </cell>
          <cell r="CD126">
            <v>-5439165.8003745954</v>
          </cell>
          <cell r="CE126">
            <v>-5437120.9261673987</v>
          </cell>
          <cell r="CH126">
            <v>-5430986.3035458103</v>
          </cell>
          <cell r="CI126">
            <v>-5429683.6021432467</v>
          </cell>
          <cell r="CJ126">
            <v>-5437505.9007406812</v>
          </cell>
          <cell r="CK126">
            <v>-5444835.7095460016</v>
          </cell>
          <cell r="CL126">
            <v>-5451370.2580770366</v>
          </cell>
          <cell r="CM126">
            <v>-5453644.0059706774</v>
          </cell>
          <cell r="CN126">
            <v>-5455618.5765098911</v>
          </cell>
          <cell r="CO126">
            <v>-5457283.9971161988</v>
          </cell>
          <cell r="CP126">
            <v>-5458608.1818086188</v>
          </cell>
          <cell r="CQ126">
            <v>-5459659.7402408365</v>
          </cell>
          <cell r="CR126">
            <v>-5460349.3092255089</v>
          </cell>
          <cell r="CS126">
            <v>-5460770.2149693985</v>
          </cell>
          <cell r="CT126">
            <v>-5460913.5020311493</v>
          </cell>
        </row>
        <row r="127">
          <cell r="BS127">
            <v>6520749.4000000004</v>
          </cell>
          <cell r="BT127">
            <v>6257154.1299999999</v>
          </cell>
          <cell r="BU127">
            <v>6257154.1299999999</v>
          </cell>
          <cell r="BV127">
            <v>6257154.1299999999</v>
          </cell>
          <cell r="BW127">
            <v>6510200.96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</row>
        <row r="128">
          <cell r="BS128">
            <v>-1656810.11</v>
          </cell>
          <cell r="BT128">
            <v>-1656810.11</v>
          </cell>
          <cell r="BU128">
            <v>-1656810.11</v>
          </cell>
          <cell r="BV128">
            <v>-1656810.11</v>
          </cell>
          <cell r="BW128">
            <v>-1656810.11</v>
          </cell>
          <cell r="BX128">
            <v>-1472160.1949999998</v>
          </cell>
          <cell r="BY128">
            <v>-1472160.1949999998</v>
          </cell>
          <cell r="BZ128">
            <v>-1472160.1949999998</v>
          </cell>
          <cell r="CA128">
            <v>-1472160.1949999998</v>
          </cell>
          <cell r="CB128">
            <v>-1472160.1949999998</v>
          </cell>
          <cell r="CC128">
            <v>-1472160.1949999998</v>
          </cell>
          <cell r="CD128">
            <v>-1472160.1949999998</v>
          </cell>
          <cell r="CE128">
            <v>-1472160.1949999998</v>
          </cell>
          <cell r="CH128">
            <v>-1472160.1949999998</v>
          </cell>
          <cell r="CI128">
            <v>-1472160.1949999998</v>
          </cell>
          <cell r="CJ128">
            <v>-1472160.1949999998</v>
          </cell>
          <cell r="CK128">
            <v>-1472160.1949999998</v>
          </cell>
          <cell r="CL128">
            <v>-1472160.1949999998</v>
          </cell>
          <cell r="CM128">
            <v>-1472160.1949999998</v>
          </cell>
          <cell r="CN128">
            <v>-1472160.1949999998</v>
          </cell>
          <cell r="CO128">
            <v>-1472160.1949999998</v>
          </cell>
          <cell r="CP128">
            <v>-1472160.1949999998</v>
          </cell>
          <cell r="CQ128">
            <v>-1472160.1949999998</v>
          </cell>
          <cell r="CR128">
            <v>-1472160.1949999998</v>
          </cell>
          <cell r="CS128">
            <v>-1472160.1949999998</v>
          </cell>
          <cell r="CT128">
            <v>-1472160.1949999998</v>
          </cell>
        </row>
        <row r="129">
          <cell r="BS129">
            <v>0</v>
          </cell>
          <cell r="BT129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</row>
        <row r="130">
          <cell r="BS130">
            <v>-111422.9</v>
          </cell>
          <cell r="BT130">
            <v>-111422.9</v>
          </cell>
          <cell r="BU130">
            <v>-111422.9</v>
          </cell>
          <cell r="BV130">
            <v>-111422.9</v>
          </cell>
          <cell r="BW130">
            <v>-111422.9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</row>
      </sheetData>
      <sheetData sheetId="42"/>
      <sheetData sheetId="43">
        <row r="11">
          <cell r="J11">
            <v>11421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09"/>
      <sheetName val="Div 91"/>
    </sheetNames>
    <sheetDataSet>
      <sheetData sheetId="0">
        <row r="13">
          <cell r="J13">
            <v>1771289.33</v>
          </cell>
          <cell r="K13">
            <v>1768242.33</v>
          </cell>
          <cell r="L13">
            <v>1767849.33</v>
          </cell>
          <cell r="M13">
            <v>1767849.33</v>
          </cell>
          <cell r="N13">
            <v>1768529.94</v>
          </cell>
          <cell r="O13">
            <v>1766691.94</v>
          </cell>
          <cell r="P13">
            <v>1766691.94</v>
          </cell>
          <cell r="Q13">
            <v>1767642.468333333</v>
          </cell>
          <cell r="R13">
            <v>1767642.4683333333</v>
          </cell>
          <cell r="S13">
            <v>1767642.4683333333</v>
          </cell>
          <cell r="T13">
            <v>1767642.4683333333</v>
          </cell>
          <cell r="U13">
            <v>1767642.4683333333</v>
          </cell>
          <cell r="V13">
            <v>1767642.4683333335</v>
          </cell>
          <cell r="Y13">
            <v>1767642.4683333335</v>
          </cell>
          <cell r="Z13">
            <v>1767642.4683333335</v>
          </cell>
          <cell r="AA13">
            <v>1767642.4683333335</v>
          </cell>
          <cell r="AB13">
            <v>1767642.4683333335</v>
          </cell>
          <cell r="AC13">
            <v>1767642.4683333335</v>
          </cell>
          <cell r="AD13">
            <v>1767642.4683333333</v>
          </cell>
          <cell r="AE13">
            <v>1767642.4683333333</v>
          </cell>
          <cell r="AF13">
            <v>1767642.4683333333</v>
          </cell>
          <cell r="AG13">
            <v>1767642.4683333335</v>
          </cell>
          <cell r="AH13">
            <v>1767642.4683333335</v>
          </cell>
          <cell r="AI13">
            <v>1767642.4683333335</v>
          </cell>
          <cell r="AJ13">
            <v>1767642.4683333335</v>
          </cell>
          <cell r="AK13">
            <v>1767642.4683333335</v>
          </cell>
        </row>
      </sheetData>
      <sheetData sheetId="1"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tabSelected="1" view="pageBreakPreview" zoomScaleNormal="100" zoomScaleSheetLayoutView="100" workbookViewId="0">
      <selection activeCell="B11" sqref="B11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241" t="s">
        <v>356</v>
      </c>
      <c r="B1" s="1241"/>
      <c r="C1" s="1241"/>
    </row>
    <row r="2" spans="1:3">
      <c r="A2" s="1242" t="s">
        <v>1592</v>
      </c>
      <c r="B2" s="1242"/>
      <c r="C2" s="1242"/>
    </row>
    <row r="3" spans="1:3">
      <c r="A3" s="1243" t="s">
        <v>1449</v>
      </c>
      <c r="B3" s="1243"/>
      <c r="C3" s="1243"/>
    </row>
    <row r="4" spans="1:3">
      <c r="A4" s="1243" t="s">
        <v>1450</v>
      </c>
      <c r="B4" s="1243"/>
      <c r="C4" s="1243"/>
    </row>
    <row r="5" spans="1:3">
      <c r="A5" s="381"/>
      <c r="B5" s="381"/>
      <c r="C5" s="381"/>
    </row>
    <row r="6" spans="1:3">
      <c r="A6" s="381"/>
      <c r="B6" s="381"/>
      <c r="C6" s="381"/>
    </row>
    <row r="8" spans="1:3">
      <c r="A8" s="84" t="s">
        <v>63</v>
      </c>
      <c r="B8" s="84" t="s">
        <v>1004</v>
      </c>
      <c r="C8" s="84" t="s">
        <v>702</v>
      </c>
    </row>
    <row r="10" spans="1:3">
      <c r="A10" s="76" t="s">
        <v>175</v>
      </c>
      <c r="B10" s="384" t="s">
        <v>830</v>
      </c>
      <c r="C10" s="234" t="s">
        <v>1499</v>
      </c>
    </row>
    <row r="11" spans="1:3">
      <c r="A11" s="76" t="s">
        <v>831</v>
      </c>
      <c r="B11" s="384" t="s">
        <v>276</v>
      </c>
      <c r="C11" s="234" t="s">
        <v>1500</v>
      </c>
    </row>
    <row r="12" spans="1:3">
      <c r="A12" s="76" t="s">
        <v>832</v>
      </c>
      <c r="B12" s="384" t="s">
        <v>833</v>
      </c>
      <c r="C12" s="234" t="s">
        <v>1501</v>
      </c>
    </row>
    <row r="13" spans="1:3">
      <c r="A13" s="76" t="s">
        <v>834</v>
      </c>
      <c r="B13" s="384" t="s">
        <v>835</v>
      </c>
      <c r="C13" s="234" t="s">
        <v>1502</v>
      </c>
    </row>
    <row r="14" spans="1:3">
      <c r="A14" s="76" t="s">
        <v>845</v>
      </c>
      <c r="B14" s="384" t="s">
        <v>478</v>
      </c>
      <c r="C14" s="234" t="s">
        <v>1503</v>
      </c>
    </row>
    <row r="15" spans="1:3">
      <c r="A15" s="76" t="s">
        <v>836</v>
      </c>
      <c r="B15" s="384" t="s">
        <v>837</v>
      </c>
      <c r="C15" s="234" t="s">
        <v>1504</v>
      </c>
    </row>
    <row r="16" spans="1:3">
      <c r="A16" s="76" t="s">
        <v>838</v>
      </c>
      <c r="B16" s="384" t="s">
        <v>839</v>
      </c>
      <c r="C16" s="234" t="s">
        <v>1505</v>
      </c>
    </row>
    <row r="17" spans="1:3">
      <c r="A17" s="76" t="s">
        <v>385</v>
      </c>
      <c r="B17" s="384" t="s">
        <v>131</v>
      </c>
      <c r="C17" s="234" t="s">
        <v>1506</v>
      </c>
    </row>
    <row r="18" spans="1:3">
      <c r="A18" s="76" t="s">
        <v>840</v>
      </c>
      <c r="B18" s="384" t="s">
        <v>841</v>
      </c>
      <c r="C18" s="234" t="s">
        <v>1507</v>
      </c>
    </row>
    <row r="19" spans="1:3">
      <c r="A19" s="76" t="s">
        <v>842</v>
      </c>
      <c r="B19" s="384" t="s">
        <v>843</v>
      </c>
      <c r="C19" s="234" t="s">
        <v>1508</v>
      </c>
    </row>
    <row r="20" spans="1:3">
      <c r="A20" s="76" t="s">
        <v>844</v>
      </c>
      <c r="B20" s="384" t="s">
        <v>25</v>
      </c>
      <c r="C20" s="234" t="s">
        <v>1509</v>
      </c>
    </row>
  </sheetData>
  <mergeCells count="4">
    <mergeCell ref="A1:C1"/>
    <mergeCell ref="A2:C2"/>
    <mergeCell ref="A3:C3"/>
    <mergeCell ref="A4:C4"/>
  </mergeCells>
  <phoneticPr fontId="24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>
    <oddHeader>&amp;R&amp;9CASE NO. 2015-00343
ATTACHMENT 1
TO STAFF DR NO. 2-21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5546875" customWidth="1"/>
    <col min="2" max="2" width="9.33203125" customWidth="1"/>
    <col min="3" max="3" width="33.88671875" customWidth="1"/>
    <col min="4" max="4" width="13.77734375" customWidth="1"/>
    <col min="5" max="5" width="10.33203125" customWidth="1"/>
    <col min="6" max="6" width="14.2187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5" customWidth="1"/>
    <col min="16" max="17" width="12" bestFit="1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1138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B'!A4</f>
        <v>as of February 29, 2016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 ht="15.75">
      <c r="A5" s="40"/>
      <c r="B5" s="40"/>
      <c r="C5" s="40"/>
      <c r="D5" s="783"/>
      <c r="E5" s="40"/>
      <c r="F5" s="40"/>
      <c r="G5" s="77"/>
      <c r="H5" s="77"/>
      <c r="I5" s="1"/>
      <c r="J5" s="1"/>
      <c r="K5" s="40"/>
      <c r="P5" s="772"/>
    </row>
    <row r="6" spans="1:17" ht="15.75">
      <c r="A6" s="4" t="str">
        <f>'B.1 B'!A6</f>
        <v>Data:__X___Base Period______Forecasted Period</v>
      </c>
      <c r="B6" s="1"/>
      <c r="C6" s="1"/>
      <c r="D6" s="1"/>
      <c r="E6" s="772"/>
      <c r="F6" s="1"/>
      <c r="G6" s="77"/>
      <c r="K6" s="1"/>
      <c r="N6" s="234" t="s">
        <v>1513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70" t="s">
        <v>1029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M8" s="91"/>
      <c r="N8" s="70" t="str">
        <f>'B.1 B'!F8</f>
        <v>Witness:   Waller</v>
      </c>
    </row>
    <row r="9" spans="1:17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>
      <c r="A10" s="508"/>
      <c r="B10" s="47"/>
      <c r="C10" s="509"/>
      <c r="D10" s="93"/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46" t="s">
        <v>273</v>
      </c>
      <c r="C11" s="432" t="s">
        <v>221</v>
      </c>
      <c r="D11" s="951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 ht="15.75">
      <c r="A12" s="433" t="s">
        <v>104</v>
      </c>
      <c r="B12" s="44" t="s">
        <v>104</v>
      </c>
      <c r="C12" s="434" t="s">
        <v>304</v>
      </c>
      <c r="D12" s="627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627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7" ht="15.75">
      <c r="B14" s="129" t="s">
        <v>6</v>
      </c>
      <c r="J14" s="81"/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685">
        <v>30100</v>
      </c>
      <c r="C16" s="4" t="s">
        <v>299</v>
      </c>
      <c r="D16" s="448">
        <f>[3]Reserve!$Q84</f>
        <v>8329.7199999999993</v>
      </c>
      <c r="E16" s="448">
        <v>0</v>
      </c>
      <c r="F16" s="448">
        <f>D16-E16</f>
        <v>8329.7199999999993</v>
      </c>
      <c r="G16" s="623">
        <v>1</v>
      </c>
      <c r="H16" s="623">
        <f>$G$16</f>
        <v>1</v>
      </c>
      <c r="I16" s="448">
        <f>F16*G16*H16</f>
        <v>8329.7199999999993</v>
      </c>
      <c r="J16" s="1142"/>
      <c r="K16" s="448">
        <f>[3]Reserve!$C84</f>
        <v>8329.7199999999993</v>
      </c>
      <c r="L16" s="624">
        <f t="shared" ref="L16:M17" si="0">$G$16</f>
        <v>1</v>
      </c>
      <c r="M16" s="624">
        <f t="shared" si="0"/>
        <v>1</v>
      </c>
      <c r="N16" s="385">
        <f>K16*L16*M16</f>
        <v>8329.7199999999993</v>
      </c>
    </row>
    <row r="17" spans="1:14">
      <c r="A17" s="779">
        <f t="shared" ref="A17:A80" si="1">A16+1</f>
        <v>3</v>
      </c>
      <c r="B17" s="685">
        <v>30200</v>
      </c>
      <c r="C17" s="4" t="s">
        <v>158</v>
      </c>
      <c r="D17" s="448">
        <f>[3]Reserve!$Q85</f>
        <v>119852.69</v>
      </c>
      <c r="E17" s="581">
        <v>0</v>
      </c>
      <c r="F17" s="581">
        <f>D17-E17</f>
        <v>119852.69</v>
      </c>
      <c r="G17" s="623">
        <f>$G$16</f>
        <v>1</v>
      </c>
      <c r="H17" s="623">
        <f>$G$16</f>
        <v>1</v>
      </c>
      <c r="I17" s="581">
        <f>F17*G17*H17</f>
        <v>119852.69</v>
      </c>
      <c r="J17" s="106"/>
      <c r="K17" s="448">
        <f>[3]Reserve!$C85</f>
        <v>119852.68999999996</v>
      </c>
      <c r="L17" s="624">
        <f t="shared" si="0"/>
        <v>1</v>
      </c>
      <c r="M17" s="624">
        <f t="shared" si="0"/>
        <v>1</v>
      </c>
      <c r="N17" s="394">
        <f>K17*L17*M17</f>
        <v>119852.68999999996</v>
      </c>
    </row>
    <row r="18" spans="1:14">
      <c r="A18" s="948">
        <f t="shared" si="1"/>
        <v>4</v>
      </c>
      <c r="B18" s="685"/>
      <c r="C18" s="4"/>
      <c r="D18" s="1145"/>
      <c r="E18" s="1145"/>
      <c r="F18" s="1145"/>
      <c r="G18" s="623"/>
      <c r="H18" s="623"/>
      <c r="I18" s="1145"/>
      <c r="J18" s="106"/>
      <c r="K18" s="1145"/>
      <c r="N18" s="791"/>
    </row>
    <row r="19" spans="1:14">
      <c r="A19" s="948">
        <f t="shared" si="1"/>
        <v>5</v>
      </c>
      <c r="B19" s="468"/>
      <c r="C19" s="4" t="s">
        <v>1440</v>
      </c>
      <c r="D19" s="448">
        <f>SUM(D16:D18)</f>
        <v>128182.41</v>
      </c>
      <c r="E19" s="448">
        <f>SUM(E16:E18)</f>
        <v>0</v>
      </c>
      <c r="F19" s="448">
        <f>SUM(F16:F18)</f>
        <v>128182.41</v>
      </c>
      <c r="G19" s="623"/>
      <c r="H19" s="623"/>
      <c r="I19" s="448">
        <f>SUM(I16:I18)</f>
        <v>128182.41</v>
      </c>
      <c r="J19" s="106"/>
      <c r="K19" s="448">
        <f>SUM(K16:K18)</f>
        <v>128182.40999999996</v>
      </c>
      <c r="N19" s="385">
        <f>SUM(N16:N17)</f>
        <v>128182.40999999996</v>
      </c>
    </row>
    <row r="20" spans="1:14">
      <c r="A20" s="779">
        <f t="shared" si="1"/>
        <v>6</v>
      </c>
      <c r="B20" s="468"/>
      <c r="C20" s="1"/>
      <c r="D20" s="581"/>
      <c r="E20" s="581"/>
      <c r="F20" s="581"/>
      <c r="G20" s="623"/>
      <c r="H20" s="623"/>
      <c r="I20" s="581"/>
      <c r="J20" s="106"/>
      <c r="K20" s="581"/>
      <c r="N20" s="394"/>
    </row>
    <row r="21" spans="1:14">
      <c r="A21" s="779">
        <f t="shared" si="1"/>
        <v>7</v>
      </c>
      <c r="B21" s="468"/>
      <c r="C21" s="17" t="s">
        <v>159</v>
      </c>
      <c r="D21" s="581"/>
      <c r="E21" s="581"/>
      <c r="F21" s="581"/>
      <c r="G21" s="623"/>
      <c r="H21" s="623"/>
      <c r="I21" s="581"/>
      <c r="J21" s="106"/>
      <c r="K21" s="581"/>
      <c r="N21" s="394"/>
    </row>
    <row r="22" spans="1:14">
      <c r="A22" s="948">
        <f t="shared" si="1"/>
        <v>8</v>
      </c>
      <c r="B22" s="685">
        <v>32540</v>
      </c>
      <c r="C22" s="4" t="s">
        <v>166</v>
      </c>
      <c r="D22" s="448">
        <f>[3]Reserve!$Q86</f>
        <v>0</v>
      </c>
      <c r="E22" s="448">
        <v>0</v>
      </c>
      <c r="F22" s="448">
        <f t="shared" ref="F22:F24" si="2">D22-E22</f>
        <v>0</v>
      </c>
      <c r="G22" s="623">
        <f t="shared" ref="G22:H24" si="3">$G$16</f>
        <v>1</v>
      </c>
      <c r="H22" s="623">
        <f t="shared" si="3"/>
        <v>1</v>
      </c>
      <c r="I22" s="448">
        <f t="shared" ref="I22:I24" si="4">F22*G22*H22</f>
        <v>0</v>
      </c>
      <c r="J22" s="106"/>
      <c r="K22" s="448">
        <f>[3]Reserve!$C86</f>
        <v>0</v>
      </c>
      <c r="L22" s="624">
        <f t="shared" ref="L22:M24" si="5">$G$16</f>
        <v>1</v>
      </c>
      <c r="M22" s="624">
        <f t="shared" si="5"/>
        <v>1</v>
      </c>
      <c r="N22" s="385">
        <f t="shared" ref="N22:N24" si="6">K22*L22*M22</f>
        <v>0</v>
      </c>
    </row>
    <row r="23" spans="1:14">
      <c r="A23" s="1064">
        <f t="shared" si="1"/>
        <v>9</v>
      </c>
      <c r="B23" s="685">
        <v>33202</v>
      </c>
      <c r="C23" s="4" t="s">
        <v>612</v>
      </c>
      <c r="D23" s="448">
        <f>[3]Reserve!$Q87</f>
        <v>-28968.38</v>
      </c>
      <c r="E23" s="581">
        <v>0</v>
      </c>
      <c r="F23" s="581">
        <f t="shared" si="2"/>
        <v>-28968.38</v>
      </c>
      <c r="G23" s="623">
        <f t="shared" si="3"/>
        <v>1</v>
      </c>
      <c r="H23" s="623">
        <f t="shared" si="3"/>
        <v>1</v>
      </c>
      <c r="I23" s="581">
        <f t="shared" si="4"/>
        <v>-28968.38</v>
      </c>
      <c r="J23" s="106"/>
      <c r="K23" s="448">
        <f>[3]Reserve!$C87</f>
        <v>-28968.38</v>
      </c>
      <c r="L23" s="624">
        <f t="shared" si="5"/>
        <v>1</v>
      </c>
      <c r="M23" s="624">
        <f t="shared" si="5"/>
        <v>1</v>
      </c>
      <c r="N23" s="394">
        <f t="shared" si="6"/>
        <v>-28968.38</v>
      </c>
    </row>
    <row r="24" spans="1:14">
      <c r="A24" s="1064">
        <f t="shared" si="1"/>
        <v>10</v>
      </c>
      <c r="B24" s="685">
        <v>33400</v>
      </c>
      <c r="C24" s="4" t="s">
        <v>1140</v>
      </c>
      <c r="D24" s="448">
        <f>[3]Reserve!$Q88</f>
        <v>1572.3399999999997</v>
      </c>
      <c r="E24" s="581">
        <v>0</v>
      </c>
      <c r="F24" s="581">
        <f t="shared" si="2"/>
        <v>1572.3399999999997</v>
      </c>
      <c r="G24" s="623">
        <f t="shared" si="3"/>
        <v>1</v>
      </c>
      <c r="H24" s="623">
        <f t="shared" si="3"/>
        <v>1</v>
      </c>
      <c r="I24" s="581">
        <f t="shared" si="4"/>
        <v>1572.3399999999997</v>
      </c>
      <c r="J24" s="106"/>
      <c r="K24" s="448">
        <f>[3]Reserve!$C88</f>
        <v>1562.9869230769229</v>
      </c>
      <c r="L24" s="624">
        <f t="shared" si="5"/>
        <v>1</v>
      </c>
      <c r="M24" s="624">
        <f t="shared" si="5"/>
        <v>1</v>
      </c>
      <c r="N24" s="394">
        <f t="shared" si="6"/>
        <v>1562.9869230769229</v>
      </c>
    </row>
    <row r="25" spans="1:14">
      <c r="A25" s="1064">
        <f t="shared" si="1"/>
        <v>11</v>
      </c>
      <c r="B25" s="685"/>
      <c r="C25" s="1"/>
      <c r="D25" s="1145"/>
      <c r="E25" s="581"/>
      <c r="F25" s="581"/>
      <c r="G25" s="623"/>
      <c r="H25" s="623"/>
      <c r="I25" s="581"/>
      <c r="J25" s="106"/>
      <c r="K25" s="1145"/>
      <c r="N25" s="394"/>
    </row>
    <row r="26" spans="1:14">
      <c r="A26" s="1064">
        <f t="shared" si="1"/>
        <v>12</v>
      </c>
      <c r="B26" s="685"/>
      <c r="C26" s="1" t="s">
        <v>1439</v>
      </c>
      <c r="D26" s="448">
        <f>SUM(D22:D25)</f>
        <v>-27396.04</v>
      </c>
      <c r="E26" s="448">
        <f>SUM(E22:E25)</f>
        <v>0</v>
      </c>
      <c r="F26" s="448">
        <f>SUM(F22:F25)</f>
        <v>-27396.04</v>
      </c>
      <c r="G26" s="623"/>
      <c r="H26" s="623"/>
      <c r="I26" s="448">
        <f>SUM(I22:I25)</f>
        <v>-27396.04</v>
      </c>
      <c r="J26" s="106"/>
      <c r="K26" s="448">
        <f>SUM(K22:K25)</f>
        <v>-27405.393076923079</v>
      </c>
      <c r="N26" s="385">
        <f>SUM(N22:N25)</f>
        <v>-27405.393076923079</v>
      </c>
    </row>
    <row r="27" spans="1:14">
      <c r="A27" s="1064">
        <f t="shared" si="1"/>
        <v>13</v>
      </c>
      <c r="B27" s="685"/>
      <c r="C27" s="4"/>
      <c r="D27" s="581"/>
      <c r="E27" s="581"/>
      <c r="F27" s="581"/>
      <c r="G27" s="623"/>
      <c r="H27" s="623"/>
      <c r="I27" s="581"/>
      <c r="J27" s="106"/>
      <c r="K27" s="581"/>
      <c r="N27" s="394"/>
    </row>
    <row r="28" spans="1:14">
      <c r="A28" s="1064">
        <f t="shared" si="1"/>
        <v>14</v>
      </c>
      <c r="B28" s="685"/>
      <c r="C28" s="17" t="s">
        <v>284</v>
      </c>
      <c r="D28" s="581"/>
      <c r="E28" s="581"/>
      <c r="F28" s="581"/>
      <c r="G28" s="623"/>
      <c r="H28" s="623"/>
      <c r="I28" s="581"/>
      <c r="J28" s="106"/>
      <c r="K28" s="581"/>
      <c r="N28" s="394"/>
    </row>
    <row r="29" spans="1:14">
      <c r="A29" s="1064">
        <f t="shared" si="1"/>
        <v>15</v>
      </c>
      <c r="B29" s="685">
        <v>35010</v>
      </c>
      <c r="C29" s="4" t="s">
        <v>300</v>
      </c>
      <c r="D29" s="448">
        <f>[3]Reserve!$Q89</f>
        <v>0</v>
      </c>
      <c r="E29" s="448">
        <v>0</v>
      </c>
      <c r="F29" s="448">
        <f t="shared" ref="F29:F45" si="7">D29-E29</f>
        <v>0</v>
      </c>
      <c r="G29" s="623">
        <f t="shared" ref="G29:H45" si="8">$G$16</f>
        <v>1</v>
      </c>
      <c r="H29" s="623">
        <f t="shared" si="8"/>
        <v>1</v>
      </c>
      <c r="I29" s="448">
        <f t="shared" ref="I29:I45" si="9">F29*G29*H29</f>
        <v>0</v>
      </c>
      <c r="J29" s="106"/>
      <c r="K29" s="448">
        <f>[3]Reserve!$C89</f>
        <v>0</v>
      </c>
      <c r="L29" s="624">
        <f t="shared" ref="L29:M45" si="10">$G$16</f>
        <v>1</v>
      </c>
      <c r="M29" s="624">
        <f t="shared" si="10"/>
        <v>1</v>
      </c>
      <c r="N29" s="385">
        <f t="shared" ref="N29:N45" si="11">K29*L29*M29</f>
        <v>0</v>
      </c>
    </row>
    <row r="30" spans="1:14">
      <c r="A30" s="1064">
        <f t="shared" si="1"/>
        <v>16</v>
      </c>
      <c r="B30" s="685">
        <v>35020</v>
      </c>
      <c r="C30" s="4" t="s">
        <v>809</v>
      </c>
      <c r="D30" s="448">
        <f>[3]Reserve!$Q90</f>
        <v>5420.21</v>
      </c>
      <c r="E30" s="581">
        <v>0</v>
      </c>
      <c r="F30" s="581">
        <f t="shared" si="7"/>
        <v>5420.21</v>
      </c>
      <c r="G30" s="623">
        <f t="shared" si="8"/>
        <v>1</v>
      </c>
      <c r="H30" s="623">
        <f t="shared" si="8"/>
        <v>1</v>
      </c>
      <c r="I30" s="581">
        <f t="shared" si="9"/>
        <v>5420.21</v>
      </c>
      <c r="J30" s="106"/>
      <c r="K30" s="448">
        <f>[3]Reserve!$C90</f>
        <v>5420.21</v>
      </c>
      <c r="L30" s="624">
        <f t="shared" si="10"/>
        <v>1</v>
      </c>
      <c r="M30" s="624">
        <f t="shared" si="10"/>
        <v>1</v>
      </c>
      <c r="N30" s="394">
        <f t="shared" si="11"/>
        <v>5420.21</v>
      </c>
    </row>
    <row r="31" spans="1:14">
      <c r="A31" s="1064">
        <f t="shared" si="1"/>
        <v>17</v>
      </c>
      <c r="B31" s="685">
        <v>35100</v>
      </c>
      <c r="C31" s="4" t="s">
        <v>988</v>
      </c>
      <c r="D31" s="448">
        <f>[3]Reserve!$Q91</f>
        <v>5276.1543769999989</v>
      </c>
      <c r="E31" s="581">
        <v>0</v>
      </c>
      <c r="F31" s="581">
        <f t="shared" si="7"/>
        <v>5276.1543769999989</v>
      </c>
      <c r="G31" s="623">
        <f t="shared" si="8"/>
        <v>1</v>
      </c>
      <c r="H31" s="623">
        <f t="shared" si="8"/>
        <v>1</v>
      </c>
      <c r="I31" s="581">
        <f t="shared" si="9"/>
        <v>5276.1543769999989</v>
      </c>
      <c r="J31" s="106"/>
      <c r="K31" s="448">
        <f>[3]Reserve!$C91</f>
        <v>5127.4565630384604</v>
      </c>
      <c r="L31" s="624">
        <f t="shared" si="10"/>
        <v>1</v>
      </c>
      <c r="M31" s="624">
        <f t="shared" si="10"/>
        <v>1</v>
      </c>
      <c r="N31" s="394">
        <f t="shared" si="11"/>
        <v>5127.4565630384604</v>
      </c>
    </row>
    <row r="32" spans="1:14">
      <c r="A32" s="1064">
        <f t="shared" si="1"/>
        <v>18</v>
      </c>
      <c r="B32" s="685">
        <v>35102</v>
      </c>
      <c r="C32" s="4" t="s">
        <v>285</v>
      </c>
      <c r="D32" s="448">
        <f>[3]Reserve!$Q92</f>
        <v>108481.29634500002</v>
      </c>
      <c r="E32" s="581">
        <v>0</v>
      </c>
      <c r="F32" s="581">
        <f t="shared" si="7"/>
        <v>108481.29634500002</v>
      </c>
      <c r="G32" s="623">
        <f t="shared" si="8"/>
        <v>1</v>
      </c>
      <c r="H32" s="623">
        <f t="shared" si="8"/>
        <v>1</v>
      </c>
      <c r="I32" s="581">
        <f t="shared" si="9"/>
        <v>108481.29634500002</v>
      </c>
      <c r="J32" s="106"/>
      <c r="K32" s="448">
        <f>[3]Reserve!$C92</f>
        <v>107615.37170826925</v>
      </c>
      <c r="L32" s="624">
        <f t="shared" si="10"/>
        <v>1</v>
      </c>
      <c r="M32" s="624">
        <f t="shared" si="10"/>
        <v>1</v>
      </c>
      <c r="N32" s="394">
        <f t="shared" si="11"/>
        <v>107615.37170826925</v>
      </c>
    </row>
    <row r="33" spans="1:14">
      <c r="A33" s="1064">
        <f t="shared" si="1"/>
        <v>19</v>
      </c>
      <c r="B33" s="685">
        <v>35103</v>
      </c>
      <c r="C33" s="4" t="s">
        <v>601</v>
      </c>
      <c r="D33" s="448">
        <f>[3]Reserve!$Q93</f>
        <v>19907.854330000009</v>
      </c>
      <c r="E33" s="581">
        <v>0</v>
      </c>
      <c r="F33" s="581">
        <f t="shared" si="7"/>
        <v>19907.854330000009</v>
      </c>
      <c r="G33" s="623">
        <f t="shared" si="8"/>
        <v>1</v>
      </c>
      <c r="H33" s="623">
        <f t="shared" si="8"/>
        <v>1</v>
      </c>
      <c r="I33" s="581">
        <f t="shared" si="9"/>
        <v>19907.854330000009</v>
      </c>
      <c r="J33" s="106"/>
      <c r="K33" s="448">
        <f>[3]Reserve!$C93</f>
        <v>19826.881935000009</v>
      </c>
      <c r="L33" s="624">
        <f t="shared" si="10"/>
        <v>1</v>
      </c>
      <c r="M33" s="624">
        <f t="shared" si="10"/>
        <v>1</v>
      </c>
      <c r="N33" s="394">
        <f t="shared" si="11"/>
        <v>19826.881935000009</v>
      </c>
    </row>
    <row r="34" spans="1:14">
      <c r="A34" s="1064">
        <f t="shared" si="1"/>
        <v>20</v>
      </c>
      <c r="B34" s="685">
        <v>35104</v>
      </c>
      <c r="C34" s="4" t="s">
        <v>602</v>
      </c>
      <c r="D34" s="448">
        <f>[3]Reserve!$Q94</f>
        <v>94926.77092699999</v>
      </c>
      <c r="E34" s="581">
        <v>0</v>
      </c>
      <c r="F34" s="581">
        <f t="shared" si="7"/>
        <v>94926.77092699999</v>
      </c>
      <c r="G34" s="623">
        <f t="shared" si="8"/>
        <v>1</v>
      </c>
      <c r="H34" s="623">
        <f t="shared" si="8"/>
        <v>1</v>
      </c>
      <c r="I34" s="581">
        <f t="shared" si="9"/>
        <v>94926.77092699999</v>
      </c>
      <c r="J34" s="106"/>
      <c r="K34" s="448">
        <f>[3]Reserve!$C94</f>
        <v>94115.86294188461</v>
      </c>
      <c r="L34" s="624">
        <f t="shared" si="10"/>
        <v>1</v>
      </c>
      <c r="M34" s="624">
        <f t="shared" si="10"/>
        <v>1</v>
      </c>
      <c r="N34" s="394">
        <f t="shared" si="11"/>
        <v>94115.86294188461</v>
      </c>
    </row>
    <row r="35" spans="1:14">
      <c r="A35" s="1064">
        <f t="shared" si="1"/>
        <v>21</v>
      </c>
      <c r="B35" s="685">
        <v>35200</v>
      </c>
      <c r="C35" s="4" t="s">
        <v>455</v>
      </c>
      <c r="D35" s="448">
        <f>[3]Reserve!$Q95</f>
        <v>891608.91324900568</v>
      </c>
      <c r="E35" s="581">
        <v>0</v>
      </c>
      <c r="F35" s="581">
        <f t="shared" si="7"/>
        <v>891608.91324900568</v>
      </c>
      <c r="G35" s="623">
        <f t="shared" si="8"/>
        <v>1</v>
      </c>
      <c r="H35" s="623">
        <f t="shared" si="8"/>
        <v>1</v>
      </c>
      <c r="I35" s="581">
        <f t="shared" si="9"/>
        <v>891608.91324900568</v>
      </c>
      <c r="J35" s="106"/>
      <c r="K35" s="448">
        <f>[3]Reserve!$C95</f>
        <v>823631.41895473562</v>
      </c>
      <c r="L35" s="624">
        <f t="shared" si="10"/>
        <v>1</v>
      </c>
      <c r="M35" s="624">
        <f t="shared" si="10"/>
        <v>1</v>
      </c>
      <c r="N35" s="394">
        <f t="shared" si="11"/>
        <v>823631.41895473562</v>
      </c>
    </row>
    <row r="36" spans="1:14">
      <c r="A36" s="1064">
        <f t="shared" si="1"/>
        <v>22</v>
      </c>
      <c r="B36" s="685">
        <v>35201</v>
      </c>
      <c r="C36" s="4" t="s">
        <v>603</v>
      </c>
      <c r="D36" s="448">
        <f>[3]Reserve!$Q96</f>
        <v>1348634.7495610004</v>
      </c>
      <c r="E36" s="581">
        <v>0</v>
      </c>
      <c r="F36" s="581">
        <f t="shared" si="7"/>
        <v>1348634.7495610004</v>
      </c>
      <c r="G36" s="623">
        <f t="shared" si="8"/>
        <v>1</v>
      </c>
      <c r="H36" s="623">
        <f t="shared" si="8"/>
        <v>1</v>
      </c>
      <c r="I36" s="581">
        <f t="shared" si="9"/>
        <v>1348634.7495610004</v>
      </c>
      <c r="J36" s="106"/>
      <c r="K36" s="448">
        <f>[3]Reserve!$C96</f>
        <v>1336479.7625741155</v>
      </c>
      <c r="L36" s="624">
        <f t="shared" si="10"/>
        <v>1</v>
      </c>
      <c r="M36" s="624">
        <f t="shared" si="10"/>
        <v>1</v>
      </c>
      <c r="N36" s="394">
        <f t="shared" si="11"/>
        <v>1336479.7625741155</v>
      </c>
    </row>
    <row r="37" spans="1:14">
      <c r="A37" s="1064">
        <f t="shared" si="1"/>
        <v>23</v>
      </c>
      <c r="B37" s="685">
        <v>35202</v>
      </c>
      <c r="C37" s="4" t="s">
        <v>604</v>
      </c>
      <c r="D37" s="448">
        <f>[3]Reserve!$Q97</f>
        <v>376466.560352</v>
      </c>
      <c r="E37" s="581">
        <v>0</v>
      </c>
      <c r="F37" s="581">
        <f t="shared" si="7"/>
        <v>376466.560352</v>
      </c>
      <c r="G37" s="623">
        <f t="shared" si="8"/>
        <v>1</v>
      </c>
      <c r="H37" s="623">
        <f t="shared" si="8"/>
        <v>1</v>
      </c>
      <c r="I37" s="581">
        <f t="shared" si="9"/>
        <v>376466.560352</v>
      </c>
      <c r="J37" s="106"/>
      <c r="K37" s="448">
        <f>[3]Reserve!$C97</f>
        <v>392157.2893255385</v>
      </c>
      <c r="L37" s="624">
        <f t="shared" si="10"/>
        <v>1</v>
      </c>
      <c r="M37" s="624">
        <f t="shared" si="10"/>
        <v>1</v>
      </c>
      <c r="N37" s="394">
        <f t="shared" si="11"/>
        <v>392157.2893255385</v>
      </c>
    </row>
    <row r="38" spans="1:14">
      <c r="A38" s="1064">
        <f t="shared" si="1"/>
        <v>24</v>
      </c>
      <c r="B38" s="685">
        <v>35203</v>
      </c>
      <c r="C38" s="4" t="s">
        <v>353</v>
      </c>
      <c r="D38" s="448">
        <f>[3]Reserve!$Q98</f>
        <v>658774.30004799971</v>
      </c>
      <c r="E38" s="581">
        <v>0</v>
      </c>
      <c r="F38" s="581">
        <f t="shared" si="7"/>
        <v>658774.30004799971</v>
      </c>
      <c r="G38" s="623">
        <f t="shared" si="8"/>
        <v>1</v>
      </c>
      <c r="H38" s="623">
        <f t="shared" si="8"/>
        <v>1</v>
      </c>
      <c r="I38" s="581">
        <f t="shared" si="9"/>
        <v>658774.30004799971</v>
      </c>
      <c r="J38" s="106"/>
      <c r="K38" s="448">
        <f>[3]Reserve!$C98</f>
        <v>643859.76193599985</v>
      </c>
      <c r="L38" s="624">
        <f t="shared" si="10"/>
        <v>1</v>
      </c>
      <c r="M38" s="624">
        <f t="shared" si="10"/>
        <v>1</v>
      </c>
      <c r="N38" s="394">
        <f t="shared" si="11"/>
        <v>643859.76193599985</v>
      </c>
    </row>
    <row r="39" spans="1:14">
      <c r="A39" s="1064">
        <f t="shared" si="1"/>
        <v>25</v>
      </c>
      <c r="B39" s="685">
        <v>35210</v>
      </c>
      <c r="C39" s="4" t="s">
        <v>605</v>
      </c>
      <c r="D39" s="448">
        <f>[3]Reserve!$Q99</f>
        <v>166044.24553150008</v>
      </c>
      <c r="E39" s="581">
        <v>0</v>
      </c>
      <c r="F39" s="581">
        <f t="shared" si="7"/>
        <v>166044.24553150008</v>
      </c>
      <c r="G39" s="623">
        <f t="shared" si="8"/>
        <v>1</v>
      </c>
      <c r="H39" s="623">
        <f t="shared" si="8"/>
        <v>1</v>
      </c>
      <c r="I39" s="581">
        <f t="shared" si="9"/>
        <v>166044.24553150008</v>
      </c>
      <c r="J39" s="106"/>
      <c r="K39" s="448">
        <f>[3]Reserve!$C99</f>
        <v>165981.76687386539</v>
      </c>
      <c r="L39" s="624">
        <f t="shared" si="10"/>
        <v>1</v>
      </c>
      <c r="M39" s="624">
        <f t="shared" si="10"/>
        <v>1</v>
      </c>
      <c r="N39" s="394">
        <f t="shared" si="11"/>
        <v>165981.76687386539</v>
      </c>
    </row>
    <row r="40" spans="1:14">
      <c r="A40" s="1064">
        <f t="shared" si="1"/>
        <v>26</v>
      </c>
      <c r="B40" s="685">
        <v>35211</v>
      </c>
      <c r="C40" s="4" t="s">
        <v>606</v>
      </c>
      <c r="D40" s="448">
        <f>[3]Reserve!$Q100</f>
        <v>42739.010658499967</v>
      </c>
      <c r="E40" s="581">
        <v>0</v>
      </c>
      <c r="F40" s="581">
        <f t="shared" si="7"/>
        <v>42739.010658499967</v>
      </c>
      <c r="G40" s="623">
        <f t="shared" si="8"/>
        <v>1</v>
      </c>
      <c r="H40" s="623">
        <f t="shared" si="8"/>
        <v>1</v>
      </c>
      <c r="I40" s="581">
        <f t="shared" si="9"/>
        <v>42739.010658499967</v>
      </c>
      <c r="J40" s="106"/>
      <c r="K40" s="448">
        <f>[3]Reserve!$C100</f>
        <v>42545.13556190383</v>
      </c>
      <c r="L40" s="624">
        <f t="shared" si="10"/>
        <v>1</v>
      </c>
      <c r="M40" s="624">
        <f t="shared" si="10"/>
        <v>1</v>
      </c>
      <c r="N40" s="394">
        <f t="shared" si="11"/>
        <v>42545.13556190383</v>
      </c>
    </row>
    <row r="41" spans="1:14">
      <c r="A41" s="1064">
        <f t="shared" si="1"/>
        <v>27</v>
      </c>
      <c r="B41" s="685">
        <v>35301</v>
      </c>
      <c r="C41" s="1" t="s">
        <v>167</v>
      </c>
      <c r="D41" s="448">
        <f>[3]Reserve!$Q101</f>
        <v>153320.93658999997</v>
      </c>
      <c r="E41" s="581">
        <v>0</v>
      </c>
      <c r="F41" s="581">
        <f t="shared" si="7"/>
        <v>153320.93658999997</v>
      </c>
      <c r="G41" s="623">
        <f t="shared" si="8"/>
        <v>1</v>
      </c>
      <c r="H41" s="623">
        <f t="shared" si="8"/>
        <v>1</v>
      </c>
      <c r="I41" s="581">
        <f t="shared" si="9"/>
        <v>153320.93658999997</v>
      </c>
      <c r="J41" s="106"/>
      <c r="K41" s="448">
        <f>[3]Reserve!$C101</f>
        <v>153124.59715884615</v>
      </c>
      <c r="L41" s="624">
        <f t="shared" si="10"/>
        <v>1</v>
      </c>
      <c r="M41" s="624">
        <f t="shared" si="10"/>
        <v>1</v>
      </c>
      <c r="N41" s="394">
        <f t="shared" si="11"/>
        <v>153124.59715884615</v>
      </c>
    </row>
    <row r="42" spans="1:14">
      <c r="A42" s="1064">
        <f t="shared" si="1"/>
        <v>28</v>
      </c>
      <c r="B42" s="685">
        <v>35302</v>
      </c>
      <c r="C42" s="4" t="s">
        <v>612</v>
      </c>
      <c r="D42" s="448">
        <f>[3]Reserve!$Q102</f>
        <v>213181.89999999997</v>
      </c>
      <c r="E42" s="581">
        <v>0</v>
      </c>
      <c r="F42" s="581">
        <f t="shared" si="7"/>
        <v>213181.89999999997</v>
      </c>
      <c r="G42" s="623">
        <f t="shared" si="8"/>
        <v>1</v>
      </c>
      <c r="H42" s="623">
        <f t="shared" si="8"/>
        <v>1</v>
      </c>
      <c r="I42" s="581">
        <f t="shared" si="9"/>
        <v>213181.89999999997</v>
      </c>
      <c r="J42" s="106"/>
      <c r="K42" s="448">
        <f>[3]Reserve!$C102</f>
        <v>213119.86923076917</v>
      </c>
      <c r="L42" s="624">
        <f t="shared" si="10"/>
        <v>1</v>
      </c>
      <c r="M42" s="624">
        <f t="shared" si="10"/>
        <v>1</v>
      </c>
      <c r="N42" s="394">
        <f t="shared" si="11"/>
        <v>213119.86923076917</v>
      </c>
    </row>
    <row r="43" spans="1:14">
      <c r="A43" s="1064">
        <f t="shared" si="1"/>
        <v>29</v>
      </c>
      <c r="B43" s="685">
        <v>35400</v>
      </c>
      <c r="C43" s="4" t="s">
        <v>607</v>
      </c>
      <c r="D43" s="448">
        <f>[3]Reserve!$Q103</f>
        <v>468462.32221500005</v>
      </c>
      <c r="E43" s="581">
        <v>0</v>
      </c>
      <c r="F43" s="581">
        <f t="shared" si="7"/>
        <v>468462.32221500005</v>
      </c>
      <c r="G43" s="623">
        <f t="shared" si="8"/>
        <v>1</v>
      </c>
      <c r="H43" s="623">
        <f t="shared" si="8"/>
        <v>1</v>
      </c>
      <c r="I43" s="581">
        <f t="shared" si="9"/>
        <v>468462.32221500005</v>
      </c>
      <c r="J43" s="106"/>
      <c r="K43" s="448">
        <f>[3]Reserve!$C103</f>
        <v>460797.72598096146</v>
      </c>
      <c r="L43" s="624">
        <f t="shared" si="10"/>
        <v>1</v>
      </c>
      <c r="M43" s="624">
        <f t="shared" si="10"/>
        <v>1</v>
      </c>
      <c r="N43" s="394">
        <f t="shared" si="11"/>
        <v>460797.72598096146</v>
      </c>
    </row>
    <row r="44" spans="1:14">
      <c r="A44" s="1064">
        <f t="shared" si="1"/>
        <v>30</v>
      </c>
      <c r="B44" s="685">
        <v>35500</v>
      </c>
      <c r="C44" s="4" t="s">
        <v>1011</v>
      </c>
      <c r="D44" s="448">
        <f>[3]Reserve!$Q104</f>
        <v>205387.366847</v>
      </c>
      <c r="E44" s="581">
        <v>0</v>
      </c>
      <c r="F44" s="581">
        <f t="shared" si="7"/>
        <v>205387.366847</v>
      </c>
      <c r="G44" s="623">
        <f t="shared" si="8"/>
        <v>1</v>
      </c>
      <c r="H44" s="623">
        <f t="shared" si="8"/>
        <v>1</v>
      </c>
      <c r="I44" s="581">
        <f t="shared" si="9"/>
        <v>205387.366847</v>
      </c>
      <c r="J44" s="106"/>
      <c r="K44" s="448">
        <f>[3]Reserve!$C104</f>
        <v>204207.04184342313</v>
      </c>
      <c r="L44" s="624">
        <f t="shared" si="10"/>
        <v>1</v>
      </c>
      <c r="M44" s="624">
        <f t="shared" si="10"/>
        <v>1</v>
      </c>
      <c r="N44" s="394">
        <f t="shared" si="11"/>
        <v>204207.04184342313</v>
      </c>
    </row>
    <row r="45" spans="1:14">
      <c r="A45" s="1064">
        <f t="shared" si="1"/>
        <v>31</v>
      </c>
      <c r="B45" s="685">
        <v>35600</v>
      </c>
      <c r="C45" s="4" t="s">
        <v>1060</v>
      </c>
      <c r="D45" s="448">
        <f>[3]Reserve!$Q105</f>
        <v>153025.29007249992</v>
      </c>
      <c r="E45" s="1144">
        <v>0</v>
      </c>
      <c r="F45" s="1144">
        <f t="shared" si="7"/>
        <v>153025.29007249992</v>
      </c>
      <c r="G45" s="623">
        <f t="shared" si="8"/>
        <v>1</v>
      </c>
      <c r="H45" s="623">
        <f t="shared" si="8"/>
        <v>1</v>
      </c>
      <c r="I45" s="1144">
        <f t="shared" si="9"/>
        <v>153025.29007249992</v>
      </c>
      <c r="J45" s="106"/>
      <c r="K45" s="448">
        <f>[3]Reserve!$C105</f>
        <v>152175.22463490377</v>
      </c>
      <c r="L45" s="624">
        <f t="shared" si="10"/>
        <v>1</v>
      </c>
      <c r="M45" s="624">
        <f t="shared" si="10"/>
        <v>1</v>
      </c>
      <c r="N45" s="395">
        <f t="shared" si="11"/>
        <v>152175.22463490377</v>
      </c>
    </row>
    <row r="46" spans="1:14">
      <c r="A46" s="1064">
        <f t="shared" si="1"/>
        <v>32</v>
      </c>
      <c r="B46" s="685"/>
      <c r="C46" s="4"/>
      <c r="D46" s="1145"/>
      <c r="E46" s="581"/>
      <c r="F46" s="581"/>
      <c r="G46" s="623"/>
      <c r="H46" s="623"/>
      <c r="I46" s="581"/>
      <c r="J46" s="106"/>
      <c r="K46" s="1145"/>
      <c r="N46" s="394"/>
    </row>
    <row r="47" spans="1:14">
      <c r="A47" s="1064">
        <f t="shared" si="1"/>
        <v>33</v>
      </c>
      <c r="B47" s="685"/>
      <c r="C47" s="4" t="s">
        <v>1438</v>
      </c>
      <c r="D47" s="448">
        <f>SUM(D29:D46)</f>
        <v>4911657.8811035054</v>
      </c>
      <c r="E47" s="448">
        <f>SUM(E29:E46)</f>
        <v>0</v>
      </c>
      <c r="F47" s="448">
        <f>SUM(F29:F46)</f>
        <v>4911657.8811035054</v>
      </c>
      <c r="G47" s="623"/>
      <c r="H47" s="623"/>
      <c r="I47" s="448">
        <f>SUM(I29:I46)</f>
        <v>4911657.8811035054</v>
      </c>
      <c r="J47" s="106"/>
      <c r="K47" s="448">
        <f>SUM(K29:K46)</f>
        <v>4820185.3772232542</v>
      </c>
      <c r="N47" s="385">
        <f>SUM(N29:N46)</f>
        <v>4820185.3772232542</v>
      </c>
    </row>
    <row r="48" spans="1:14">
      <c r="A48" s="1064">
        <f t="shared" si="1"/>
        <v>34</v>
      </c>
      <c r="B48" s="685"/>
      <c r="C48" s="4"/>
      <c r="D48" s="581"/>
      <c r="E48" s="581"/>
      <c r="F48" s="581"/>
      <c r="G48" s="623"/>
      <c r="H48" s="623"/>
      <c r="I48" s="581"/>
      <c r="J48" s="106"/>
      <c r="K48" s="581"/>
      <c r="N48" s="394"/>
    </row>
    <row r="49" spans="1:14">
      <c r="A49" s="1064">
        <f t="shared" si="1"/>
        <v>35</v>
      </c>
      <c r="B49" s="685"/>
      <c r="C49" s="17" t="s">
        <v>1012</v>
      </c>
      <c r="D49" s="581"/>
      <c r="E49" s="581"/>
      <c r="F49" s="581"/>
      <c r="G49" s="623"/>
      <c r="H49" s="623"/>
      <c r="I49" s="581"/>
      <c r="J49" s="106"/>
      <c r="K49" s="581"/>
      <c r="N49" s="394"/>
    </row>
    <row r="50" spans="1:14">
      <c r="A50" s="1064">
        <f t="shared" si="1"/>
        <v>36</v>
      </c>
      <c r="B50" s="685">
        <v>36510</v>
      </c>
      <c r="C50" s="4" t="s">
        <v>300</v>
      </c>
      <c r="D50" s="448">
        <f>[3]Reserve!$Q106</f>
        <v>0</v>
      </c>
      <c r="E50" s="448">
        <v>0</v>
      </c>
      <c r="F50" s="448">
        <f t="shared" ref="F50:F57" si="12">D50-E50</f>
        <v>0</v>
      </c>
      <c r="G50" s="623">
        <f t="shared" ref="G50:H57" si="13">$G$16</f>
        <v>1</v>
      </c>
      <c r="H50" s="623">
        <f t="shared" si="13"/>
        <v>1</v>
      </c>
      <c r="I50" s="448">
        <f t="shared" ref="I50:I57" si="14">F50*G50*H50</f>
        <v>0</v>
      </c>
      <c r="J50" s="106"/>
      <c r="K50" s="448">
        <f>[3]Reserve!$C106</f>
        <v>0</v>
      </c>
      <c r="L50" s="624">
        <f t="shared" ref="L50:M57" si="15">$G$16</f>
        <v>1</v>
      </c>
      <c r="M50" s="624">
        <f t="shared" si="15"/>
        <v>1</v>
      </c>
      <c r="N50" s="385">
        <f t="shared" ref="N50:N57" si="16">K50*L50*M50</f>
        <v>0</v>
      </c>
    </row>
    <row r="51" spans="1:14">
      <c r="A51" s="1064">
        <f t="shared" si="1"/>
        <v>37</v>
      </c>
      <c r="B51" s="685">
        <v>36520</v>
      </c>
      <c r="C51" s="4" t="s">
        <v>809</v>
      </c>
      <c r="D51" s="448">
        <f>[3]Reserve!$Q107</f>
        <v>442997.33579999983</v>
      </c>
      <c r="E51" s="581">
        <v>0</v>
      </c>
      <c r="F51" s="581">
        <f t="shared" si="12"/>
        <v>442997.33579999983</v>
      </c>
      <c r="G51" s="623">
        <f t="shared" si="13"/>
        <v>1</v>
      </c>
      <c r="H51" s="623">
        <f t="shared" si="13"/>
        <v>1</v>
      </c>
      <c r="I51" s="581">
        <f t="shared" si="14"/>
        <v>442997.33579999983</v>
      </c>
      <c r="J51" s="106"/>
      <c r="K51" s="448">
        <f>[3]Reserve!$C107</f>
        <v>436358.87886923063</v>
      </c>
      <c r="L51" s="624">
        <f t="shared" si="15"/>
        <v>1</v>
      </c>
      <c r="M51" s="624">
        <f t="shared" si="15"/>
        <v>1</v>
      </c>
      <c r="N51" s="394">
        <f t="shared" si="16"/>
        <v>436358.87886923063</v>
      </c>
    </row>
    <row r="52" spans="1:14">
      <c r="A52" s="1064">
        <f t="shared" si="1"/>
        <v>38</v>
      </c>
      <c r="B52" s="685">
        <v>36602</v>
      </c>
      <c r="C52" s="4" t="s">
        <v>874</v>
      </c>
      <c r="D52" s="448">
        <f>[3]Reserve!$Q108</f>
        <v>12749.945823999993</v>
      </c>
      <c r="E52" s="581">
        <v>0</v>
      </c>
      <c r="F52" s="581">
        <f t="shared" si="12"/>
        <v>12749.945823999993</v>
      </c>
      <c r="G52" s="623">
        <f t="shared" si="13"/>
        <v>1</v>
      </c>
      <c r="H52" s="623">
        <f t="shared" si="13"/>
        <v>1</v>
      </c>
      <c r="I52" s="581">
        <f t="shared" si="14"/>
        <v>12749.945823999993</v>
      </c>
      <c r="J52" s="106"/>
      <c r="K52" s="448">
        <f>[3]Reserve!$C108</f>
        <v>12299.139644923074</v>
      </c>
      <c r="L52" s="624">
        <f t="shared" si="15"/>
        <v>1</v>
      </c>
      <c r="M52" s="624">
        <f t="shared" si="15"/>
        <v>1</v>
      </c>
      <c r="N52" s="394">
        <f t="shared" si="16"/>
        <v>12299.139644923074</v>
      </c>
    </row>
    <row r="53" spans="1:14">
      <c r="A53" s="1064">
        <f t="shared" si="1"/>
        <v>39</v>
      </c>
      <c r="B53" s="685">
        <v>36603</v>
      </c>
      <c r="C53" s="4" t="s">
        <v>1013</v>
      </c>
      <c r="D53" s="448">
        <f>[3]Reserve!$Q109</f>
        <v>46459.05186799998</v>
      </c>
      <c r="E53" s="581">
        <v>0</v>
      </c>
      <c r="F53" s="581">
        <f t="shared" si="12"/>
        <v>46459.05186799998</v>
      </c>
      <c r="G53" s="623">
        <f t="shared" si="13"/>
        <v>1</v>
      </c>
      <c r="H53" s="623">
        <f t="shared" si="13"/>
        <v>1</v>
      </c>
      <c r="I53" s="581">
        <f t="shared" si="14"/>
        <v>46459.05186799998</v>
      </c>
      <c r="J53" s="106"/>
      <c r="K53" s="448">
        <f>[3]Reserve!$C109</f>
        <v>45899.445118307682</v>
      </c>
      <c r="L53" s="624">
        <f t="shared" si="15"/>
        <v>1</v>
      </c>
      <c r="M53" s="624">
        <f t="shared" si="15"/>
        <v>1</v>
      </c>
      <c r="N53" s="394">
        <f t="shared" si="16"/>
        <v>45899.445118307682</v>
      </c>
    </row>
    <row r="54" spans="1:14">
      <c r="A54" s="1064">
        <f t="shared" si="1"/>
        <v>40</v>
      </c>
      <c r="B54" s="685">
        <v>36700</v>
      </c>
      <c r="C54" s="4" t="s">
        <v>861</v>
      </c>
      <c r="D54" s="448">
        <f>[3]Reserve!$Q110</f>
        <v>124025.35</v>
      </c>
      <c r="E54" s="581">
        <v>0</v>
      </c>
      <c r="F54" s="581">
        <f t="shared" si="12"/>
        <v>124025.35</v>
      </c>
      <c r="G54" s="623">
        <f t="shared" si="13"/>
        <v>1</v>
      </c>
      <c r="H54" s="623">
        <f t="shared" si="13"/>
        <v>1</v>
      </c>
      <c r="I54" s="581">
        <f t="shared" si="14"/>
        <v>124025.35</v>
      </c>
      <c r="J54" s="106"/>
      <c r="K54" s="448">
        <f>[3]Reserve!$C110</f>
        <v>119387.63538461538</v>
      </c>
      <c r="L54" s="624">
        <f t="shared" si="15"/>
        <v>1</v>
      </c>
      <c r="M54" s="624">
        <f t="shared" si="15"/>
        <v>1</v>
      </c>
      <c r="N54" s="394">
        <f t="shared" si="16"/>
        <v>119387.63538461538</v>
      </c>
    </row>
    <row r="55" spans="1:14">
      <c r="A55" s="1064">
        <f t="shared" si="1"/>
        <v>41</v>
      </c>
      <c r="B55" s="685">
        <v>36701</v>
      </c>
      <c r="C55" s="4" t="s">
        <v>16</v>
      </c>
      <c r="D55" s="448">
        <f>[3]Reserve!$Q111</f>
        <v>17880916.630299509</v>
      </c>
      <c r="E55" s="581">
        <v>0</v>
      </c>
      <c r="F55" s="581">
        <f t="shared" si="12"/>
        <v>17880916.630299509</v>
      </c>
      <c r="G55" s="623">
        <f t="shared" si="13"/>
        <v>1</v>
      </c>
      <c r="H55" s="623">
        <f t="shared" si="13"/>
        <v>1</v>
      </c>
      <c r="I55" s="581">
        <f t="shared" si="14"/>
        <v>17880916.630299509</v>
      </c>
      <c r="J55" s="106"/>
      <c r="K55" s="448">
        <f>[3]Reserve!$C111</f>
        <v>17587856.574696023</v>
      </c>
      <c r="L55" s="624">
        <f t="shared" si="15"/>
        <v>1</v>
      </c>
      <c r="M55" s="624">
        <f t="shared" si="15"/>
        <v>1</v>
      </c>
      <c r="N55" s="394">
        <f t="shared" si="16"/>
        <v>17587856.574696023</v>
      </c>
    </row>
    <row r="56" spans="1:14">
      <c r="A56" s="1064">
        <f t="shared" si="1"/>
        <v>42</v>
      </c>
      <c r="B56" s="685">
        <v>36900</v>
      </c>
      <c r="C56" s="4" t="s">
        <v>1014</v>
      </c>
      <c r="D56" s="448">
        <f>[3]Reserve!$Q112</f>
        <v>257230.06083400006</v>
      </c>
      <c r="E56" s="581">
        <v>0</v>
      </c>
      <c r="F56" s="581">
        <f t="shared" si="12"/>
        <v>257230.06083400006</v>
      </c>
      <c r="G56" s="623">
        <f t="shared" si="13"/>
        <v>1</v>
      </c>
      <c r="H56" s="623">
        <f t="shared" si="13"/>
        <v>1</v>
      </c>
      <c r="I56" s="581">
        <f t="shared" si="14"/>
        <v>257230.06083400006</v>
      </c>
      <c r="J56" s="106"/>
      <c r="K56" s="448">
        <f>[3]Reserve!$C112</f>
        <v>250741.58560915387</v>
      </c>
      <c r="L56" s="624">
        <f t="shared" si="15"/>
        <v>1</v>
      </c>
      <c r="M56" s="624">
        <f t="shared" si="15"/>
        <v>1</v>
      </c>
      <c r="N56" s="394">
        <f t="shared" si="16"/>
        <v>250741.58560915387</v>
      </c>
    </row>
    <row r="57" spans="1:14">
      <c r="A57" s="1064">
        <f t="shared" si="1"/>
        <v>43</v>
      </c>
      <c r="B57" s="685">
        <v>36901</v>
      </c>
      <c r="C57" s="4" t="s">
        <v>1014</v>
      </c>
      <c r="D57" s="448">
        <f>[3]Reserve!$Q113</f>
        <v>1418955.5419524994</v>
      </c>
      <c r="E57" s="1144">
        <v>0</v>
      </c>
      <c r="F57" s="1144">
        <f t="shared" si="12"/>
        <v>1418955.5419524994</v>
      </c>
      <c r="G57" s="623">
        <f t="shared" si="13"/>
        <v>1</v>
      </c>
      <c r="H57" s="623">
        <f t="shared" si="13"/>
        <v>1</v>
      </c>
      <c r="I57" s="1144">
        <f t="shared" si="14"/>
        <v>1418955.5419524994</v>
      </c>
      <c r="J57" s="106"/>
      <c r="K57" s="448">
        <f>[3]Reserve!$C113</f>
        <v>1395684.7836025963</v>
      </c>
      <c r="L57" s="624">
        <f t="shared" si="15"/>
        <v>1</v>
      </c>
      <c r="M57" s="624">
        <f t="shared" si="15"/>
        <v>1</v>
      </c>
      <c r="N57" s="395">
        <f t="shared" si="16"/>
        <v>1395684.7836025963</v>
      </c>
    </row>
    <row r="58" spans="1:14">
      <c r="A58" s="1064">
        <f t="shared" si="1"/>
        <v>44</v>
      </c>
      <c r="B58" s="685"/>
      <c r="C58" s="4"/>
      <c r="D58" s="1145"/>
      <c r="E58" s="581"/>
      <c r="F58" s="581"/>
      <c r="G58" s="623"/>
      <c r="H58" s="623"/>
      <c r="I58" s="581"/>
      <c r="J58" s="106"/>
      <c r="K58" s="1145"/>
      <c r="N58" s="394"/>
    </row>
    <row r="59" spans="1:14">
      <c r="A59" s="1064">
        <f t="shared" si="1"/>
        <v>45</v>
      </c>
      <c r="B59" s="468"/>
      <c r="C59" s="4" t="s">
        <v>1437</v>
      </c>
      <c r="D59" s="448">
        <f>SUM(D50:D58)</f>
        <v>20183333.91657801</v>
      </c>
      <c r="E59" s="448">
        <f>SUM(E50:E58)</f>
        <v>0</v>
      </c>
      <c r="F59" s="448">
        <f>SUM(F50:F58)</f>
        <v>20183333.91657801</v>
      </c>
      <c r="G59" s="623"/>
      <c r="H59" s="623"/>
      <c r="I59" s="448">
        <f>SUM(I50:I58)</f>
        <v>20183333.91657801</v>
      </c>
      <c r="J59" s="106"/>
      <c r="K59" s="448">
        <f>SUM(K50:K58)</f>
        <v>19848228.042924847</v>
      </c>
      <c r="N59" s="385">
        <f>SUM(N50:N58)</f>
        <v>19848228.042924847</v>
      </c>
    </row>
    <row r="60" spans="1:14">
      <c r="A60" s="1064">
        <f t="shared" si="1"/>
        <v>46</v>
      </c>
      <c r="B60" s="468"/>
      <c r="C60" s="1"/>
      <c r="D60" s="581"/>
      <c r="E60" s="581"/>
      <c r="F60" s="581"/>
      <c r="G60" s="623"/>
      <c r="H60" s="623"/>
      <c r="I60" s="581"/>
      <c r="J60" s="106"/>
      <c r="K60" s="581"/>
      <c r="N60" s="394"/>
    </row>
    <row r="61" spans="1:14">
      <c r="A61" s="1064">
        <f t="shared" si="1"/>
        <v>47</v>
      </c>
      <c r="B61" s="468"/>
      <c r="C61" s="17" t="s">
        <v>307</v>
      </c>
      <c r="D61" s="581"/>
      <c r="E61" s="581"/>
      <c r="F61" s="581"/>
      <c r="G61" s="623"/>
      <c r="H61" s="623"/>
      <c r="I61" s="581"/>
      <c r="J61" s="106"/>
      <c r="K61" s="581"/>
      <c r="N61" s="394"/>
    </row>
    <row r="62" spans="1:14">
      <c r="A62" s="1064">
        <f t="shared" si="1"/>
        <v>48</v>
      </c>
      <c r="B62" s="685">
        <v>37400</v>
      </c>
      <c r="C62" s="4" t="s">
        <v>1168</v>
      </c>
      <c r="D62" s="448">
        <f>[3]Reserve!$Q114</f>
        <v>-0.01</v>
      </c>
      <c r="E62" s="448">
        <v>0</v>
      </c>
      <c r="F62" s="448">
        <f t="shared" ref="F62:F81" si="17">D62-E62</f>
        <v>-0.01</v>
      </c>
      <c r="G62" s="623">
        <f t="shared" ref="G62:H81" si="18">$G$16</f>
        <v>1</v>
      </c>
      <c r="H62" s="623">
        <f t="shared" si="18"/>
        <v>1</v>
      </c>
      <c r="I62" s="448">
        <f t="shared" ref="I62:I81" si="19">F62*G62*H62</f>
        <v>-0.01</v>
      </c>
      <c r="J62" s="106"/>
      <c r="K62" s="448">
        <f>[3]Reserve!$C114</f>
        <v>-9.9999999999999985E-3</v>
      </c>
      <c r="L62" s="624">
        <f t="shared" ref="L62:M81" si="20">$G$16</f>
        <v>1</v>
      </c>
      <c r="M62" s="624">
        <f t="shared" si="20"/>
        <v>1</v>
      </c>
      <c r="N62" s="385">
        <f t="shared" ref="N62:N81" si="21">K62*L62*M62</f>
        <v>-9.9999999999999985E-3</v>
      </c>
    </row>
    <row r="63" spans="1:14">
      <c r="A63" s="1064">
        <f t="shared" si="1"/>
        <v>49</v>
      </c>
      <c r="B63" s="685">
        <v>37401</v>
      </c>
      <c r="C63" s="4" t="s">
        <v>300</v>
      </c>
      <c r="D63" s="448">
        <f>[3]Reserve!$Q115</f>
        <v>0</v>
      </c>
      <c r="E63" s="581">
        <v>0</v>
      </c>
      <c r="F63" s="581">
        <f t="shared" si="17"/>
        <v>0</v>
      </c>
      <c r="G63" s="623">
        <f t="shared" si="18"/>
        <v>1</v>
      </c>
      <c r="H63" s="623">
        <f t="shared" si="18"/>
        <v>1</v>
      </c>
      <c r="I63" s="581">
        <f t="shared" si="19"/>
        <v>0</v>
      </c>
      <c r="J63" s="106"/>
      <c r="K63" s="448">
        <f>[3]Reserve!$C115</f>
        <v>0</v>
      </c>
      <c r="L63" s="624">
        <f t="shared" si="20"/>
        <v>1</v>
      </c>
      <c r="M63" s="624">
        <f t="shared" si="20"/>
        <v>1</v>
      </c>
      <c r="N63" s="394">
        <f t="shared" si="21"/>
        <v>0</v>
      </c>
    </row>
    <row r="64" spans="1:14">
      <c r="A64" s="1064">
        <f t="shared" si="1"/>
        <v>50</v>
      </c>
      <c r="B64" s="685">
        <v>37402</v>
      </c>
      <c r="C64" s="4" t="s">
        <v>1018</v>
      </c>
      <c r="D64" s="448">
        <f>[3]Reserve!$Q116</f>
        <v>102780.61280030801</v>
      </c>
      <c r="E64" s="581">
        <v>0</v>
      </c>
      <c r="F64" s="581">
        <f t="shared" si="17"/>
        <v>102780.61280030801</v>
      </c>
      <c r="G64" s="623">
        <f t="shared" si="18"/>
        <v>1</v>
      </c>
      <c r="H64" s="623">
        <f t="shared" si="18"/>
        <v>1</v>
      </c>
      <c r="I64" s="581">
        <f t="shared" si="19"/>
        <v>102780.61280030801</v>
      </c>
      <c r="J64" s="106"/>
      <c r="K64" s="448">
        <f>[3]Reserve!$C116</f>
        <v>91057.892046392459</v>
      </c>
      <c r="L64" s="624">
        <f t="shared" si="20"/>
        <v>1</v>
      </c>
      <c r="M64" s="624">
        <f t="shared" si="20"/>
        <v>1</v>
      </c>
      <c r="N64" s="394">
        <f t="shared" si="21"/>
        <v>91057.892046392459</v>
      </c>
    </row>
    <row r="65" spans="1:14">
      <c r="A65" s="1064">
        <f t="shared" si="1"/>
        <v>51</v>
      </c>
      <c r="B65" s="685">
        <v>37403</v>
      </c>
      <c r="C65" s="4" t="s">
        <v>1015</v>
      </c>
      <c r="D65" s="448">
        <f>[3]Reserve!$Q117</f>
        <v>0</v>
      </c>
      <c r="E65" s="581">
        <v>0</v>
      </c>
      <c r="F65" s="581">
        <f t="shared" si="17"/>
        <v>0</v>
      </c>
      <c r="G65" s="623">
        <f t="shared" si="18"/>
        <v>1</v>
      </c>
      <c r="H65" s="623">
        <f t="shared" si="18"/>
        <v>1</v>
      </c>
      <c r="I65" s="581">
        <f t="shared" si="19"/>
        <v>0</v>
      </c>
      <c r="J65" s="106"/>
      <c r="K65" s="448">
        <f>[3]Reserve!$C117</f>
        <v>0</v>
      </c>
      <c r="L65" s="624">
        <f t="shared" si="20"/>
        <v>1</v>
      </c>
      <c r="M65" s="624">
        <f t="shared" si="20"/>
        <v>1</v>
      </c>
      <c r="N65" s="394">
        <f t="shared" si="21"/>
        <v>0</v>
      </c>
    </row>
    <row r="66" spans="1:14">
      <c r="A66" s="1064">
        <f t="shared" si="1"/>
        <v>52</v>
      </c>
      <c r="B66" s="685">
        <v>37500</v>
      </c>
      <c r="C66" s="4" t="s">
        <v>874</v>
      </c>
      <c r="D66" s="448">
        <f>[3]Reserve!$Q118</f>
        <v>87793.437809000054</v>
      </c>
      <c r="E66" s="581">
        <v>0</v>
      </c>
      <c r="F66" s="581">
        <f t="shared" si="17"/>
        <v>87793.437809000054</v>
      </c>
      <c r="G66" s="623">
        <f t="shared" si="18"/>
        <v>1</v>
      </c>
      <c r="H66" s="623">
        <f t="shared" si="18"/>
        <v>1</v>
      </c>
      <c r="I66" s="581">
        <f t="shared" si="19"/>
        <v>87793.437809000054</v>
      </c>
      <c r="J66" s="106"/>
      <c r="K66" s="448">
        <f>[3]Reserve!$C118</f>
        <v>84146.00864088464</v>
      </c>
      <c r="L66" s="624">
        <f t="shared" si="20"/>
        <v>1</v>
      </c>
      <c r="M66" s="624">
        <f t="shared" si="20"/>
        <v>1</v>
      </c>
      <c r="N66" s="394">
        <f t="shared" si="21"/>
        <v>84146.00864088464</v>
      </c>
    </row>
    <row r="67" spans="1:14">
      <c r="A67" s="1064">
        <f t="shared" si="1"/>
        <v>53</v>
      </c>
      <c r="B67" s="685">
        <v>37501</v>
      </c>
      <c r="C67" s="4" t="s">
        <v>1016</v>
      </c>
      <c r="D67" s="448">
        <f>[3]Reserve!$Q119</f>
        <v>61297.716710499997</v>
      </c>
      <c r="E67" s="581">
        <v>0</v>
      </c>
      <c r="F67" s="581">
        <f t="shared" si="17"/>
        <v>61297.716710499997</v>
      </c>
      <c r="G67" s="623">
        <f t="shared" si="18"/>
        <v>1</v>
      </c>
      <c r="H67" s="623">
        <f t="shared" si="18"/>
        <v>1</v>
      </c>
      <c r="I67" s="581">
        <f t="shared" si="19"/>
        <v>61297.716710499997</v>
      </c>
      <c r="J67" s="106"/>
      <c r="K67" s="448">
        <f>[3]Reserve!$C119</f>
        <v>60214.697191288462</v>
      </c>
      <c r="L67" s="624">
        <f t="shared" si="20"/>
        <v>1</v>
      </c>
      <c r="M67" s="624">
        <f t="shared" si="20"/>
        <v>1</v>
      </c>
      <c r="N67" s="394">
        <f t="shared" si="21"/>
        <v>60214.697191288462</v>
      </c>
    </row>
    <row r="68" spans="1:14">
      <c r="A68" s="1064">
        <f t="shared" si="1"/>
        <v>54</v>
      </c>
      <c r="B68" s="685">
        <v>37502</v>
      </c>
      <c r="C68" s="4" t="s">
        <v>1018</v>
      </c>
      <c r="D68" s="448">
        <f>[3]Reserve!$Q120</f>
        <v>30989.066461500002</v>
      </c>
      <c r="E68" s="581">
        <v>0</v>
      </c>
      <c r="F68" s="581">
        <f t="shared" si="17"/>
        <v>30989.066461500002</v>
      </c>
      <c r="G68" s="623">
        <f t="shared" si="18"/>
        <v>1</v>
      </c>
      <c r="H68" s="623">
        <f t="shared" si="18"/>
        <v>1</v>
      </c>
      <c r="I68" s="581">
        <f t="shared" si="19"/>
        <v>30989.066461500002</v>
      </c>
      <c r="J68" s="106"/>
      <c r="K68" s="448">
        <f>[3]Reserve!$C120</f>
        <v>30486.714047326932</v>
      </c>
      <c r="L68" s="624">
        <f t="shared" si="20"/>
        <v>1</v>
      </c>
      <c r="M68" s="624">
        <f t="shared" si="20"/>
        <v>1</v>
      </c>
      <c r="N68" s="394">
        <f t="shared" si="21"/>
        <v>30486.714047326932</v>
      </c>
    </row>
    <row r="69" spans="1:14">
      <c r="A69" s="1064">
        <f t="shared" si="1"/>
        <v>55</v>
      </c>
      <c r="B69" s="685">
        <v>37503</v>
      </c>
      <c r="C69" s="4" t="s">
        <v>1017</v>
      </c>
      <c r="D69" s="448">
        <f>[3]Reserve!$Q121</f>
        <v>1585.2851179999996</v>
      </c>
      <c r="E69" s="581">
        <v>0</v>
      </c>
      <c r="F69" s="581">
        <f t="shared" si="17"/>
        <v>1585.2851179999996</v>
      </c>
      <c r="G69" s="623">
        <f t="shared" si="18"/>
        <v>1</v>
      </c>
      <c r="H69" s="623">
        <f t="shared" si="18"/>
        <v>1</v>
      </c>
      <c r="I69" s="581">
        <f t="shared" si="19"/>
        <v>1585.2851179999996</v>
      </c>
      <c r="J69" s="106"/>
      <c r="K69" s="448">
        <f>[3]Reserve!$C121</f>
        <v>1541.8340702307692</v>
      </c>
      <c r="L69" s="624">
        <f t="shared" si="20"/>
        <v>1</v>
      </c>
      <c r="M69" s="624">
        <f t="shared" si="20"/>
        <v>1</v>
      </c>
      <c r="N69" s="394">
        <f t="shared" si="21"/>
        <v>1541.8340702307692</v>
      </c>
    </row>
    <row r="70" spans="1:14">
      <c r="A70" s="1064">
        <f t="shared" si="1"/>
        <v>56</v>
      </c>
      <c r="B70" s="685">
        <v>37600</v>
      </c>
      <c r="C70" s="4" t="s">
        <v>861</v>
      </c>
      <c r="D70" s="448">
        <f>[3]Reserve!$Q122</f>
        <v>12749426.089028159</v>
      </c>
      <c r="E70" s="581">
        <v>0</v>
      </c>
      <c r="F70" s="581">
        <f t="shared" si="17"/>
        <v>12749426.089028159</v>
      </c>
      <c r="G70" s="623">
        <f t="shared" si="18"/>
        <v>1</v>
      </c>
      <c r="H70" s="623">
        <f t="shared" si="18"/>
        <v>1</v>
      </c>
      <c r="I70" s="581">
        <f t="shared" si="19"/>
        <v>12749426.089028159</v>
      </c>
      <c r="J70" s="106"/>
      <c r="K70" s="448">
        <f>[3]Reserve!$C122</f>
        <v>12974183.652307035</v>
      </c>
      <c r="L70" s="624">
        <f t="shared" si="20"/>
        <v>1</v>
      </c>
      <c r="M70" s="624">
        <f t="shared" si="20"/>
        <v>1</v>
      </c>
      <c r="N70" s="394">
        <f t="shared" si="21"/>
        <v>12974183.652307035</v>
      </c>
    </row>
    <row r="71" spans="1:14">
      <c r="A71" s="1064">
        <f t="shared" si="1"/>
        <v>57</v>
      </c>
      <c r="B71" s="685">
        <v>37601</v>
      </c>
      <c r="C71" s="4" t="s">
        <v>16</v>
      </c>
      <c r="D71" s="448">
        <f>[3]Reserve!$Q123</f>
        <v>25096678.237261418</v>
      </c>
      <c r="E71" s="581">
        <v>0</v>
      </c>
      <c r="F71" s="581">
        <f t="shared" si="17"/>
        <v>25096678.237261418</v>
      </c>
      <c r="G71" s="623">
        <f t="shared" si="18"/>
        <v>1</v>
      </c>
      <c r="H71" s="623">
        <f t="shared" si="18"/>
        <v>1</v>
      </c>
      <c r="I71" s="581">
        <f t="shared" si="19"/>
        <v>25096678.237261418</v>
      </c>
      <c r="J71" s="106"/>
      <c r="K71" s="448">
        <f>[3]Reserve!$C123</f>
        <v>24995887.743360639</v>
      </c>
      <c r="L71" s="624">
        <f t="shared" si="20"/>
        <v>1</v>
      </c>
      <c r="M71" s="624">
        <f t="shared" si="20"/>
        <v>1</v>
      </c>
      <c r="N71" s="394">
        <f t="shared" si="21"/>
        <v>24995887.743360639</v>
      </c>
    </row>
    <row r="72" spans="1:14">
      <c r="A72" s="1064">
        <f t="shared" si="1"/>
        <v>58</v>
      </c>
      <c r="B72" s="685">
        <v>37602</v>
      </c>
      <c r="C72" s="4" t="s">
        <v>862</v>
      </c>
      <c r="D72" s="448">
        <f>[3]Reserve!$Q124</f>
        <v>12840750.53466784</v>
      </c>
      <c r="E72" s="581">
        <v>0</v>
      </c>
      <c r="F72" s="581">
        <f t="shared" si="17"/>
        <v>12840750.53466784</v>
      </c>
      <c r="G72" s="623">
        <f t="shared" si="18"/>
        <v>1</v>
      </c>
      <c r="H72" s="623">
        <f t="shared" si="18"/>
        <v>1</v>
      </c>
      <c r="I72" s="581">
        <f t="shared" si="19"/>
        <v>12840750.53466784</v>
      </c>
      <c r="J72" s="106"/>
      <c r="K72" s="448">
        <f>[3]Reserve!$C124</f>
        <v>11938882.399967462</v>
      </c>
      <c r="L72" s="624">
        <f t="shared" si="20"/>
        <v>1</v>
      </c>
      <c r="M72" s="624">
        <f t="shared" si="20"/>
        <v>1</v>
      </c>
      <c r="N72" s="394">
        <f t="shared" si="21"/>
        <v>11938882.399967462</v>
      </c>
    </row>
    <row r="73" spans="1:14">
      <c r="A73" s="1064">
        <f t="shared" si="1"/>
        <v>59</v>
      </c>
      <c r="B73" s="685">
        <v>37800</v>
      </c>
      <c r="C73" s="4" t="s">
        <v>234</v>
      </c>
      <c r="D73" s="448">
        <f>[3]Reserve!$Q125</f>
        <v>1889109.3664089912</v>
      </c>
      <c r="E73" s="581">
        <v>0</v>
      </c>
      <c r="F73" s="581">
        <f t="shared" si="17"/>
        <v>1889109.3664089912</v>
      </c>
      <c r="G73" s="623">
        <f t="shared" si="18"/>
        <v>1</v>
      </c>
      <c r="H73" s="623">
        <f t="shared" si="18"/>
        <v>1</v>
      </c>
      <c r="I73" s="581">
        <f t="shared" si="19"/>
        <v>1889109.3664089912</v>
      </c>
      <c r="J73" s="106"/>
      <c r="K73" s="448">
        <f>[3]Reserve!$C125</f>
        <v>1795528.7667832826</v>
      </c>
      <c r="L73" s="624">
        <f t="shared" si="20"/>
        <v>1</v>
      </c>
      <c r="M73" s="624">
        <f t="shared" si="20"/>
        <v>1</v>
      </c>
      <c r="N73" s="394">
        <f t="shared" si="21"/>
        <v>1795528.7667832826</v>
      </c>
    </row>
    <row r="74" spans="1:14">
      <c r="A74" s="1064">
        <f t="shared" si="1"/>
        <v>60</v>
      </c>
      <c r="B74" s="685">
        <v>37900</v>
      </c>
      <c r="C74" s="4" t="s">
        <v>1211</v>
      </c>
      <c r="D74" s="448">
        <f>[3]Reserve!$Q126</f>
        <v>578353.97001379193</v>
      </c>
      <c r="E74" s="581">
        <v>0</v>
      </c>
      <c r="F74" s="581">
        <f t="shared" si="17"/>
        <v>578353.97001379193</v>
      </c>
      <c r="G74" s="623">
        <f t="shared" si="18"/>
        <v>1</v>
      </c>
      <c r="H74" s="623">
        <f t="shared" si="18"/>
        <v>1</v>
      </c>
      <c r="I74" s="581">
        <f t="shared" si="19"/>
        <v>578353.97001379193</v>
      </c>
      <c r="J74" s="106"/>
      <c r="K74" s="448">
        <f>[3]Reserve!$C126</f>
        <v>546784.67133280472</v>
      </c>
      <c r="L74" s="624">
        <f t="shared" si="20"/>
        <v>1</v>
      </c>
      <c r="M74" s="624">
        <f t="shared" si="20"/>
        <v>1</v>
      </c>
      <c r="N74" s="394">
        <f t="shared" si="21"/>
        <v>546784.67133280472</v>
      </c>
    </row>
    <row r="75" spans="1:14">
      <c r="A75" s="1064">
        <f t="shared" si="1"/>
        <v>61</v>
      </c>
      <c r="B75" s="685">
        <v>37905</v>
      </c>
      <c r="C75" s="4" t="s">
        <v>742</v>
      </c>
      <c r="D75" s="448">
        <f>[3]Reserve!$Q127</f>
        <v>843333.22205199965</v>
      </c>
      <c r="E75" s="581">
        <v>0</v>
      </c>
      <c r="F75" s="581">
        <f t="shared" si="17"/>
        <v>843333.22205199965</v>
      </c>
      <c r="G75" s="623">
        <f t="shared" si="18"/>
        <v>1</v>
      </c>
      <c r="H75" s="623">
        <f t="shared" si="18"/>
        <v>1</v>
      </c>
      <c r="I75" s="581">
        <f t="shared" si="19"/>
        <v>843333.22205199965</v>
      </c>
      <c r="J75" s="106"/>
      <c r="K75" s="448">
        <f>[3]Reserve!$C127</f>
        <v>825031.44093707681</v>
      </c>
      <c r="L75" s="624">
        <f t="shared" si="20"/>
        <v>1</v>
      </c>
      <c r="M75" s="624">
        <f t="shared" si="20"/>
        <v>1</v>
      </c>
      <c r="N75" s="394">
        <f t="shared" si="21"/>
        <v>825031.44093707681</v>
      </c>
    </row>
    <row r="76" spans="1:14">
      <c r="A76" s="1064">
        <f t="shared" si="1"/>
        <v>62</v>
      </c>
      <c r="B76" s="685">
        <v>38000</v>
      </c>
      <c r="C76" s="4" t="s">
        <v>1072</v>
      </c>
      <c r="D76" s="448">
        <f>[3]Reserve!$Q128</f>
        <v>41673200.205828369</v>
      </c>
      <c r="E76" s="581">
        <v>0</v>
      </c>
      <c r="F76" s="581">
        <f t="shared" si="17"/>
        <v>41673200.205828369</v>
      </c>
      <c r="G76" s="623">
        <f t="shared" si="18"/>
        <v>1</v>
      </c>
      <c r="H76" s="623">
        <f t="shared" si="18"/>
        <v>1</v>
      </c>
      <c r="I76" s="581">
        <f t="shared" si="19"/>
        <v>41673200.205828369</v>
      </c>
      <c r="J76" s="106"/>
      <c r="K76" s="448">
        <f>[3]Reserve!$C128</f>
        <v>42277011.127153352</v>
      </c>
      <c r="L76" s="624">
        <f t="shared" si="20"/>
        <v>1</v>
      </c>
      <c r="M76" s="624">
        <f t="shared" si="20"/>
        <v>1</v>
      </c>
      <c r="N76" s="394">
        <f t="shared" si="21"/>
        <v>42277011.127153352</v>
      </c>
    </row>
    <row r="77" spans="1:14">
      <c r="A77" s="1064">
        <f t="shared" si="1"/>
        <v>63</v>
      </c>
      <c r="B77" s="685">
        <v>38100</v>
      </c>
      <c r="C77" s="4" t="s">
        <v>863</v>
      </c>
      <c r="D77" s="448">
        <f>[3]Reserve!$Q129</f>
        <v>15658295.2331923</v>
      </c>
      <c r="E77" s="581">
        <v>0</v>
      </c>
      <c r="F77" s="581">
        <f t="shared" si="17"/>
        <v>15658295.2331923</v>
      </c>
      <c r="G77" s="623">
        <f t="shared" si="18"/>
        <v>1</v>
      </c>
      <c r="H77" s="623">
        <f t="shared" si="18"/>
        <v>1</v>
      </c>
      <c r="I77" s="581">
        <f t="shared" si="19"/>
        <v>15658295.2331923</v>
      </c>
      <c r="J77" s="106"/>
      <c r="K77" s="448">
        <f>[3]Reserve!$C129</f>
        <v>14811873.896610765</v>
      </c>
      <c r="L77" s="624">
        <f t="shared" si="20"/>
        <v>1</v>
      </c>
      <c r="M77" s="624">
        <f t="shared" si="20"/>
        <v>1</v>
      </c>
      <c r="N77" s="394">
        <f t="shared" si="21"/>
        <v>14811873.896610765</v>
      </c>
    </row>
    <row r="78" spans="1:14">
      <c r="A78" s="1064">
        <f t="shared" si="1"/>
        <v>64</v>
      </c>
      <c r="B78" s="685">
        <v>38200</v>
      </c>
      <c r="C78" s="4" t="s">
        <v>456</v>
      </c>
      <c r="D78" s="448">
        <f>[3]Reserve!$Q130</f>
        <v>21351302.371157583</v>
      </c>
      <c r="E78" s="581">
        <v>0</v>
      </c>
      <c r="F78" s="581">
        <f t="shared" si="17"/>
        <v>21351302.371157583</v>
      </c>
      <c r="G78" s="623">
        <f t="shared" si="18"/>
        <v>1</v>
      </c>
      <c r="H78" s="623">
        <f t="shared" si="18"/>
        <v>1</v>
      </c>
      <c r="I78" s="581">
        <f t="shared" si="19"/>
        <v>21351302.371157583</v>
      </c>
      <c r="J78" s="106"/>
      <c r="K78" s="448">
        <f>[3]Reserve!$C130</f>
        <v>20684388.699045144</v>
      </c>
      <c r="L78" s="624">
        <f t="shared" si="20"/>
        <v>1</v>
      </c>
      <c r="M78" s="624">
        <f t="shared" si="20"/>
        <v>1</v>
      </c>
      <c r="N78" s="394">
        <f t="shared" si="21"/>
        <v>20684388.699045144</v>
      </c>
    </row>
    <row r="79" spans="1:14">
      <c r="A79" s="1064">
        <f t="shared" si="1"/>
        <v>65</v>
      </c>
      <c r="B79" s="685">
        <v>38300</v>
      </c>
      <c r="C79" s="4" t="s">
        <v>1073</v>
      </c>
      <c r="D79" s="448">
        <f>[3]Reserve!$Q131</f>
        <v>3198188.7724547056</v>
      </c>
      <c r="E79" s="581">
        <v>0</v>
      </c>
      <c r="F79" s="581">
        <f t="shared" si="17"/>
        <v>3198188.7724547056</v>
      </c>
      <c r="G79" s="623">
        <f t="shared" si="18"/>
        <v>1</v>
      </c>
      <c r="H79" s="623">
        <f t="shared" si="18"/>
        <v>1</v>
      </c>
      <c r="I79" s="581">
        <f t="shared" si="19"/>
        <v>3198188.7724547056</v>
      </c>
      <c r="J79" s="106"/>
      <c r="K79" s="448">
        <f>[3]Reserve!$C131</f>
        <v>3063132.3177689635</v>
      </c>
      <c r="L79" s="624">
        <f t="shared" si="20"/>
        <v>1</v>
      </c>
      <c r="M79" s="624">
        <f t="shared" si="20"/>
        <v>1</v>
      </c>
      <c r="N79" s="394">
        <f t="shared" si="21"/>
        <v>3063132.3177689635</v>
      </c>
    </row>
    <row r="80" spans="1:14">
      <c r="A80" s="1064">
        <f t="shared" si="1"/>
        <v>66</v>
      </c>
      <c r="B80" s="685">
        <v>38400</v>
      </c>
      <c r="C80" s="4" t="s">
        <v>457</v>
      </c>
      <c r="D80" s="448">
        <f>[3]Reserve!$Q132</f>
        <v>74171.935953999986</v>
      </c>
      <c r="E80" s="581">
        <v>0</v>
      </c>
      <c r="F80" s="581">
        <f t="shared" si="17"/>
        <v>74171.935953999986</v>
      </c>
      <c r="G80" s="623">
        <f t="shared" si="18"/>
        <v>1</v>
      </c>
      <c r="H80" s="623">
        <f t="shared" si="18"/>
        <v>1</v>
      </c>
      <c r="I80" s="581">
        <f t="shared" si="19"/>
        <v>74171.935953999986</v>
      </c>
      <c r="J80" s="106"/>
      <c r="K80" s="448">
        <f>[3]Reserve!$C132</f>
        <v>72220.333526076938</v>
      </c>
      <c r="L80" s="624">
        <f t="shared" si="20"/>
        <v>1</v>
      </c>
      <c r="M80" s="624">
        <f t="shared" si="20"/>
        <v>1</v>
      </c>
      <c r="N80" s="394">
        <f t="shared" si="21"/>
        <v>72220.333526076938</v>
      </c>
    </row>
    <row r="81" spans="1:14">
      <c r="A81" s="1064">
        <f t="shared" ref="A81:A145" si="22">A80+1</f>
        <v>67</v>
      </c>
      <c r="B81" s="685">
        <v>38500</v>
      </c>
      <c r="C81" s="4" t="s">
        <v>458</v>
      </c>
      <c r="D81" s="448">
        <f>[3]Reserve!$Q133</f>
        <v>2675605.280075232</v>
      </c>
      <c r="E81" s="581">
        <v>0</v>
      </c>
      <c r="F81" s="581">
        <f t="shared" si="17"/>
        <v>2675605.280075232</v>
      </c>
      <c r="G81" s="623">
        <f t="shared" si="18"/>
        <v>1</v>
      </c>
      <c r="H81" s="623">
        <f t="shared" si="18"/>
        <v>1</v>
      </c>
      <c r="I81" s="581">
        <f t="shared" si="19"/>
        <v>2675605.280075232</v>
      </c>
      <c r="J81" s="106"/>
      <c r="K81" s="448">
        <f>[3]Reserve!$C133</f>
        <v>2591259.9568336639</v>
      </c>
      <c r="L81" s="624">
        <f t="shared" si="20"/>
        <v>1</v>
      </c>
      <c r="M81" s="624">
        <f t="shared" si="20"/>
        <v>1</v>
      </c>
      <c r="N81" s="394">
        <f t="shared" si="21"/>
        <v>2591259.9568336639</v>
      </c>
    </row>
    <row r="82" spans="1:14">
      <c r="A82" s="1064">
        <f t="shared" si="22"/>
        <v>68</v>
      </c>
      <c r="B82" s="685"/>
      <c r="C82" s="4"/>
      <c r="D82" s="1145"/>
      <c r="E82" s="1145"/>
      <c r="F82" s="1145"/>
      <c r="G82" s="623"/>
      <c r="H82" s="623"/>
      <c r="I82" s="1145"/>
      <c r="J82" s="106"/>
      <c r="K82" s="1145"/>
      <c r="N82" s="791"/>
    </row>
    <row r="83" spans="1:14">
      <c r="A83" s="1064">
        <f t="shared" si="22"/>
        <v>69</v>
      </c>
      <c r="B83" s="685"/>
      <c r="C83" s="4" t="s">
        <v>1436</v>
      </c>
      <c r="D83" s="448">
        <f>SUM(D62:D82)</f>
        <v>138912861.3269937</v>
      </c>
      <c r="E83" s="448">
        <f>SUM(E62:E82)</f>
        <v>0</v>
      </c>
      <c r="F83" s="448">
        <f>SUM(F62:F82)</f>
        <v>138912861.3269937</v>
      </c>
      <c r="G83" s="623"/>
      <c r="H83" s="623"/>
      <c r="I83" s="448">
        <f>SUM(I62:I82)</f>
        <v>138912861.3269937</v>
      </c>
      <c r="J83" s="106"/>
      <c r="K83" s="448">
        <f>SUM(K62:K82)</f>
        <v>136843632.14162239</v>
      </c>
      <c r="N83" s="385">
        <f>SUM(N62:N82)</f>
        <v>136843632.14162239</v>
      </c>
    </row>
    <row r="84" spans="1:14">
      <c r="A84" s="1064">
        <f t="shared" si="22"/>
        <v>70</v>
      </c>
      <c r="B84" s="685"/>
      <c r="C84" s="4"/>
      <c r="D84" s="581"/>
      <c r="E84" s="581"/>
      <c r="F84" s="581"/>
      <c r="G84" s="623"/>
      <c r="H84" s="623"/>
      <c r="I84" s="581"/>
      <c r="J84" s="106"/>
      <c r="K84" s="581"/>
      <c r="N84" s="394"/>
    </row>
    <row r="85" spans="1:14">
      <c r="A85" s="1064">
        <f t="shared" si="22"/>
        <v>71</v>
      </c>
      <c r="B85" s="468"/>
      <c r="C85" s="17" t="s">
        <v>309</v>
      </c>
      <c r="D85" s="581"/>
      <c r="E85" s="581"/>
      <c r="F85" s="581"/>
      <c r="G85" s="623"/>
      <c r="H85" s="623"/>
      <c r="I85" s="581"/>
      <c r="J85" s="106"/>
      <c r="K85" s="581"/>
      <c r="N85" s="394"/>
    </row>
    <row r="86" spans="1:14">
      <c r="A86" s="1064">
        <f t="shared" si="22"/>
        <v>72</v>
      </c>
      <c r="B86" s="685">
        <v>38900</v>
      </c>
      <c r="C86" s="4" t="s">
        <v>1168</v>
      </c>
      <c r="D86" s="448">
        <f>[3]Reserve!$Q134</f>
        <v>0</v>
      </c>
      <c r="E86" s="448">
        <v>0</v>
      </c>
      <c r="F86" s="448">
        <f t="shared" ref="F86:F107" si="23">D86-E86</f>
        <v>0</v>
      </c>
      <c r="G86" s="623">
        <f t="shared" ref="G86:H99" si="24">$G$16</f>
        <v>1</v>
      </c>
      <c r="H86" s="623">
        <f t="shared" si="24"/>
        <v>1</v>
      </c>
      <c r="I86" s="448">
        <f t="shared" ref="I86:I107" si="25">F86*G86*H86</f>
        <v>0</v>
      </c>
      <c r="J86" s="106"/>
      <c r="K86" s="448">
        <f>[3]Reserve!$C134</f>
        <v>0</v>
      </c>
      <c r="L86" s="624">
        <f t="shared" ref="L86:M99" si="26">$G$16</f>
        <v>1</v>
      </c>
      <c r="M86" s="624">
        <f t="shared" si="26"/>
        <v>1</v>
      </c>
      <c r="N86" s="385">
        <f t="shared" ref="N86:N106" si="27">K86*L86*M86</f>
        <v>0</v>
      </c>
    </row>
    <row r="87" spans="1:14">
      <c r="A87" s="1064">
        <f t="shared" si="22"/>
        <v>73</v>
      </c>
      <c r="B87" s="685">
        <v>39000</v>
      </c>
      <c r="C87" s="4" t="s">
        <v>556</v>
      </c>
      <c r="D87" s="448">
        <f>[3]Reserve!$Q135</f>
        <v>44656.23135323693</v>
      </c>
      <c r="E87" s="581">
        <v>0</v>
      </c>
      <c r="F87" s="581">
        <f t="shared" si="23"/>
        <v>44656.23135323693</v>
      </c>
      <c r="G87" s="623">
        <f t="shared" si="24"/>
        <v>1</v>
      </c>
      <c r="H87" s="623">
        <f t="shared" si="24"/>
        <v>1</v>
      </c>
      <c r="I87" s="581">
        <f t="shared" si="25"/>
        <v>44656.23135323693</v>
      </c>
      <c r="J87" s="106"/>
      <c r="K87" s="448">
        <f>[3]Reserve!$C135</f>
        <v>-39809.945874493096</v>
      </c>
      <c r="L87" s="624">
        <f t="shared" si="26"/>
        <v>1</v>
      </c>
      <c r="M87" s="624">
        <f t="shared" si="26"/>
        <v>1</v>
      </c>
      <c r="N87" s="394">
        <f t="shared" si="27"/>
        <v>-39809.945874493096</v>
      </c>
    </row>
    <row r="88" spans="1:14">
      <c r="A88" s="1064">
        <f t="shared" si="22"/>
        <v>74</v>
      </c>
      <c r="B88" s="685">
        <v>39002</v>
      </c>
      <c r="C88" s="4" t="s">
        <v>1017</v>
      </c>
      <c r="D88" s="448">
        <f>[3]Reserve!$Q136</f>
        <v>61418.394922500003</v>
      </c>
      <c r="E88" s="581">
        <v>0</v>
      </c>
      <c r="F88" s="581">
        <f t="shared" si="23"/>
        <v>61418.394922500003</v>
      </c>
      <c r="G88" s="623">
        <f t="shared" si="24"/>
        <v>1</v>
      </c>
      <c r="H88" s="623">
        <f t="shared" si="24"/>
        <v>1</v>
      </c>
      <c r="I88" s="581">
        <f t="shared" si="25"/>
        <v>61418.394922500003</v>
      </c>
      <c r="J88" s="106"/>
      <c r="K88" s="448">
        <f>[3]Reserve!$C136</f>
        <v>58155.17863298078</v>
      </c>
      <c r="L88" s="624">
        <f t="shared" si="26"/>
        <v>1</v>
      </c>
      <c r="M88" s="624">
        <f t="shared" si="26"/>
        <v>1</v>
      </c>
      <c r="N88" s="394">
        <f t="shared" si="27"/>
        <v>58155.17863298078</v>
      </c>
    </row>
    <row r="89" spans="1:14">
      <c r="A89" s="1064">
        <f t="shared" si="22"/>
        <v>75</v>
      </c>
      <c r="B89" s="685">
        <v>39003</v>
      </c>
      <c r="C89" s="4" t="s">
        <v>459</v>
      </c>
      <c r="D89" s="448">
        <f>[3]Reserve!$Q137</f>
        <v>146666.34454299998</v>
      </c>
      <c r="E89" s="581">
        <v>0</v>
      </c>
      <c r="F89" s="581">
        <f t="shared" si="23"/>
        <v>146666.34454299998</v>
      </c>
      <c r="G89" s="623">
        <f t="shared" si="24"/>
        <v>1</v>
      </c>
      <c r="H89" s="623">
        <f t="shared" si="24"/>
        <v>1</v>
      </c>
      <c r="I89" s="581">
        <f t="shared" si="25"/>
        <v>146666.34454299998</v>
      </c>
      <c r="J89" s="106"/>
      <c r="K89" s="448">
        <f>[3]Reserve!$C137</f>
        <v>133265.82199234617</v>
      </c>
      <c r="L89" s="624">
        <f t="shared" si="26"/>
        <v>1</v>
      </c>
      <c r="M89" s="624">
        <f t="shared" si="26"/>
        <v>1</v>
      </c>
      <c r="N89" s="394">
        <f t="shared" si="27"/>
        <v>133265.82199234617</v>
      </c>
    </row>
    <row r="90" spans="1:14">
      <c r="A90" s="1064">
        <f t="shared" si="22"/>
        <v>76</v>
      </c>
      <c r="B90" s="685">
        <v>39004</v>
      </c>
      <c r="C90" s="4" t="s">
        <v>1056</v>
      </c>
      <c r="D90" s="448">
        <f>[3]Reserve!$Q138</f>
        <v>2359.8390864999992</v>
      </c>
      <c r="E90" s="581">
        <v>0</v>
      </c>
      <c r="F90" s="581">
        <f t="shared" si="23"/>
        <v>2359.8390864999992</v>
      </c>
      <c r="G90" s="623">
        <f t="shared" si="24"/>
        <v>1</v>
      </c>
      <c r="H90" s="623">
        <f t="shared" si="24"/>
        <v>1</v>
      </c>
      <c r="I90" s="581">
        <f t="shared" si="25"/>
        <v>2359.8390864999992</v>
      </c>
      <c r="J90" s="106"/>
      <c r="K90" s="448">
        <f>[3]Reserve!$C138</f>
        <v>2219.1924463653845</v>
      </c>
      <c r="L90" s="624">
        <f t="shared" si="26"/>
        <v>1</v>
      </c>
      <c r="M90" s="624">
        <f t="shared" si="26"/>
        <v>1</v>
      </c>
      <c r="N90" s="394">
        <f t="shared" si="27"/>
        <v>2219.1924463653845</v>
      </c>
    </row>
    <row r="91" spans="1:14">
      <c r="A91" s="1064">
        <f t="shared" si="22"/>
        <v>77</v>
      </c>
      <c r="B91" s="685">
        <v>39009</v>
      </c>
      <c r="C91" s="4" t="s">
        <v>796</v>
      </c>
      <c r="D91" s="448">
        <f>[3]Reserve!$Q139</f>
        <v>746249.21066899982</v>
      </c>
      <c r="E91" s="581">
        <v>0</v>
      </c>
      <c r="F91" s="581">
        <f t="shared" si="23"/>
        <v>746249.21066899982</v>
      </c>
      <c r="G91" s="623">
        <f t="shared" si="24"/>
        <v>1</v>
      </c>
      <c r="H91" s="623">
        <f t="shared" si="24"/>
        <v>1</v>
      </c>
      <c r="I91" s="581">
        <f t="shared" si="25"/>
        <v>746249.21066899982</v>
      </c>
      <c r="J91" s="106"/>
      <c r="K91" s="448">
        <f>[3]Reserve!$C139</f>
        <v>656203.4521031921</v>
      </c>
      <c r="L91" s="624">
        <f t="shared" si="26"/>
        <v>1</v>
      </c>
      <c r="M91" s="624">
        <f t="shared" si="26"/>
        <v>1</v>
      </c>
      <c r="N91" s="394">
        <f t="shared" si="27"/>
        <v>656203.4521031921</v>
      </c>
    </row>
    <row r="92" spans="1:14">
      <c r="A92" s="1064">
        <f t="shared" si="22"/>
        <v>78</v>
      </c>
      <c r="B92" s="685">
        <v>39100</v>
      </c>
      <c r="C92" s="4" t="s">
        <v>542</v>
      </c>
      <c r="D92" s="448">
        <f>[3]Reserve!$Q140</f>
        <v>589436.22067368345</v>
      </c>
      <c r="E92" s="581">
        <v>0</v>
      </c>
      <c r="F92" s="581">
        <f t="shared" si="23"/>
        <v>589436.22067368345</v>
      </c>
      <c r="G92" s="623">
        <f t="shared" si="24"/>
        <v>1</v>
      </c>
      <c r="H92" s="623">
        <f t="shared" si="24"/>
        <v>1</v>
      </c>
      <c r="I92" s="581">
        <f t="shared" si="25"/>
        <v>589436.22067368345</v>
      </c>
      <c r="J92" s="106"/>
      <c r="K92" s="448">
        <f>[3]Reserve!$C140</f>
        <v>519863.33277257095</v>
      </c>
      <c r="L92" s="624">
        <f t="shared" si="26"/>
        <v>1</v>
      </c>
      <c r="M92" s="624">
        <f t="shared" si="26"/>
        <v>1</v>
      </c>
      <c r="N92" s="394">
        <f t="shared" si="27"/>
        <v>519863.33277257095</v>
      </c>
    </row>
    <row r="93" spans="1:14">
      <c r="A93" s="1064">
        <f t="shared" si="22"/>
        <v>79</v>
      </c>
      <c r="B93" s="685">
        <v>39200</v>
      </c>
      <c r="C93" s="4" t="s">
        <v>348</v>
      </c>
      <c r="D93" s="448">
        <f>[3]Reserve!$Q141</f>
        <v>132780.76760650004</v>
      </c>
      <c r="E93" s="581">
        <v>0</v>
      </c>
      <c r="F93" s="581">
        <f t="shared" si="23"/>
        <v>132780.76760650004</v>
      </c>
      <c r="G93" s="623">
        <f t="shared" si="24"/>
        <v>1</v>
      </c>
      <c r="H93" s="623">
        <f t="shared" si="24"/>
        <v>1</v>
      </c>
      <c r="I93" s="581">
        <f t="shared" si="25"/>
        <v>132780.76760650004</v>
      </c>
      <c r="J93" s="106"/>
      <c r="K93" s="448">
        <f>[3]Reserve!$C141</f>
        <v>106203.01897098079</v>
      </c>
      <c r="L93" s="624">
        <f t="shared" si="26"/>
        <v>1</v>
      </c>
      <c r="M93" s="624">
        <f t="shared" si="26"/>
        <v>1</v>
      </c>
      <c r="N93" s="394">
        <f t="shared" si="27"/>
        <v>106203.01897098079</v>
      </c>
    </row>
    <row r="94" spans="1:14">
      <c r="A94" s="1064">
        <f t="shared" si="22"/>
        <v>80</v>
      </c>
      <c r="B94" s="685">
        <v>39202</v>
      </c>
      <c r="C94" s="4" t="s">
        <v>91</v>
      </c>
      <c r="D94" s="448">
        <f>[3]Reserve!$Q142</f>
        <v>26530.113153999999</v>
      </c>
      <c r="E94" s="581">
        <v>0</v>
      </c>
      <c r="F94" s="581">
        <f t="shared" si="23"/>
        <v>26530.113153999999</v>
      </c>
      <c r="G94" s="623">
        <f t="shared" si="24"/>
        <v>1</v>
      </c>
      <c r="H94" s="623">
        <f t="shared" si="24"/>
        <v>1</v>
      </c>
      <c r="I94" s="581">
        <f t="shared" si="25"/>
        <v>26530.113153999999</v>
      </c>
      <c r="J94" s="106"/>
      <c r="K94" s="448">
        <f>[3]Reserve!$C142</f>
        <v>22089.278156846154</v>
      </c>
      <c r="L94" s="624">
        <f t="shared" si="26"/>
        <v>1</v>
      </c>
      <c r="M94" s="624">
        <f t="shared" si="26"/>
        <v>1</v>
      </c>
      <c r="N94" s="394">
        <f t="shared" si="27"/>
        <v>22089.278156846154</v>
      </c>
    </row>
    <row r="95" spans="1:14">
      <c r="A95" s="1064">
        <f t="shared" si="22"/>
        <v>81</v>
      </c>
      <c r="B95" s="685">
        <v>39400</v>
      </c>
      <c r="C95" s="4" t="s">
        <v>1055</v>
      </c>
      <c r="D95" s="448">
        <f>[3]Reserve!$Q143</f>
        <v>521314.25797671126</v>
      </c>
      <c r="E95" s="581">
        <v>0</v>
      </c>
      <c r="F95" s="581">
        <f t="shared" si="23"/>
        <v>521314.25797671126</v>
      </c>
      <c r="G95" s="623">
        <f t="shared" si="24"/>
        <v>1</v>
      </c>
      <c r="H95" s="623">
        <f t="shared" si="24"/>
        <v>1</v>
      </c>
      <c r="I95" s="581">
        <f t="shared" si="25"/>
        <v>521314.25797671126</v>
      </c>
      <c r="J95" s="106"/>
      <c r="K95" s="448">
        <f>[3]Reserve!$C143</f>
        <v>458490.89784908236</v>
      </c>
      <c r="L95" s="624">
        <f t="shared" si="26"/>
        <v>1</v>
      </c>
      <c r="M95" s="624">
        <f t="shared" si="26"/>
        <v>1</v>
      </c>
      <c r="N95" s="394">
        <f t="shared" si="27"/>
        <v>458490.89784908236</v>
      </c>
    </row>
    <row r="96" spans="1:14">
      <c r="A96" s="1064">
        <f t="shared" si="22"/>
        <v>82</v>
      </c>
      <c r="B96" s="468">
        <v>39603</v>
      </c>
      <c r="C96" s="4" t="s">
        <v>93</v>
      </c>
      <c r="D96" s="448">
        <f>[3]Reserve!$Q144</f>
        <v>26128.780584000004</v>
      </c>
      <c r="E96" s="581">
        <v>0</v>
      </c>
      <c r="F96" s="581">
        <f t="shared" si="23"/>
        <v>26128.780584000004</v>
      </c>
      <c r="G96" s="623">
        <f t="shared" si="24"/>
        <v>1</v>
      </c>
      <c r="H96" s="623">
        <f t="shared" si="24"/>
        <v>1</v>
      </c>
      <c r="I96" s="581">
        <f t="shared" si="25"/>
        <v>26128.780584000004</v>
      </c>
      <c r="J96" s="106"/>
      <c r="K96" s="448">
        <f>[3]Reserve!$C144</f>
        <v>24422.914772615386</v>
      </c>
      <c r="L96" s="624">
        <f t="shared" si="26"/>
        <v>1</v>
      </c>
      <c r="M96" s="624">
        <f t="shared" si="26"/>
        <v>1</v>
      </c>
      <c r="N96" s="394">
        <f t="shared" si="27"/>
        <v>24422.914772615386</v>
      </c>
    </row>
    <row r="97" spans="1:19">
      <c r="A97" s="1064">
        <f t="shared" si="22"/>
        <v>83</v>
      </c>
      <c r="B97" s="468">
        <v>39604</v>
      </c>
      <c r="C97" s="1" t="s">
        <v>94</v>
      </c>
      <c r="D97" s="448">
        <f>[3]Reserve!$Q145</f>
        <v>39687.803890999989</v>
      </c>
      <c r="E97" s="581">
        <v>0</v>
      </c>
      <c r="F97" s="581">
        <f t="shared" si="23"/>
        <v>39687.803890999989</v>
      </c>
      <c r="G97" s="623">
        <f t="shared" si="24"/>
        <v>1</v>
      </c>
      <c r="H97" s="623">
        <f t="shared" si="24"/>
        <v>1</v>
      </c>
      <c r="I97" s="581">
        <f t="shared" si="25"/>
        <v>39687.803890999989</v>
      </c>
      <c r="J97" s="106"/>
      <c r="K97" s="448">
        <f>[3]Reserve!$C145</f>
        <v>34799.788355269229</v>
      </c>
      <c r="L97" s="624">
        <f t="shared" si="26"/>
        <v>1</v>
      </c>
      <c r="M97" s="624">
        <f t="shared" si="26"/>
        <v>1</v>
      </c>
      <c r="N97" s="394">
        <f t="shared" si="27"/>
        <v>34799.788355269229</v>
      </c>
    </row>
    <row r="98" spans="1:19">
      <c r="A98" s="1064">
        <f t="shared" si="22"/>
        <v>84</v>
      </c>
      <c r="B98" s="468">
        <v>39605</v>
      </c>
      <c r="C98" s="4" t="s">
        <v>454</v>
      </c>
      <c r="D98" s="448">
        <f>[3]Reserve!$Q146</f>
        <v>17683.179726000009</v>
      </c>
      <c r="E98" s="581">
        <v>0</v>
      </c>
      <c r="F98" s="581">
        <f t="shared" si="23"/>
        <v>17683.179726000009</v>
      </c>
      <c r="G98" s="623">
        <f t="shared" si="24"/>
        <v>1</v>
      </c>
      <c r="H98" s="623">
        <f t="shared" si="24"/>
        <v>1</v>
      </c>
      <c r="I98" s="581">
        <f t="shared" si="25"/>
        <v>17683.179726000009</v>
      </c>
      <c r="J98" s="106"/>
      <c r="K98" s="448">
        <f>[3]Reserve!$C146</f>
        <v>14280.874541615387</v>
      </c>
      <c r="L98" s="624">
        <f t="shared" si="26"/>
        <v>1</v>
      </c>
      <c r="M98" s="624">
        <f t="shared" si="26"/>
        <v>1</v>
      </c>
      <c r="N98" s="394">
        <f t="shared" si="27"/>
        <v>14280.874541615387</v>
      </c>
    </row>
    <row r="99" spans="1:19">
      <c r="A99" s="1064">
        <f t="shared" si="22"/>
        <v>85</v>
      </c>
      <c r="B99" s="468">
        <v>39700</v>
      </c>
      <c r="C99" s="4" t="s">
        <v>869</v>
      </c>
      <c r="D99" s="448">
        <f>[3]Reserve!$Q147</f>
        <v>123986.16920288237</v>
      </c>
      <c r="E99" s="581">
        <v>0</v>
      </c>
      <c r="F99" s="581">
        <f t="shared" si="23"/>
        <v>123986.16920288237</v>
      </c>
      <c r="G99" s="623">
        <f t="shared" si="24"/>
        <v>1</v>
      </c>
      <c r="H99" s="623">
        <f t="shared" si="24"/>
        <v>1</v>
      </c>
      <c r="I99" s="581">
        <f t="shared" si="25"/>
        <v>123986.16920288237</v>
      </c>
      <c r="J99" s="106"/>
      <c r="K99" s="448">
        <f>[3]Reserve!$C147</f>
        <v>109495.46803550638</v>
      </c>
      <c r="L99" s="624">
        <f t="shared" si="26"/>
        <v>1</v>
      </c>
      <c r="M99" s="624">
        <f t="shared" si="26"/>
        <v>1</v>
      </c>
      <c r="N99" s="394">
        <f t="shared" si="27"/>
        <v>109495.46803550638</v>
      </c>
    </row>
    <row r="100" spans="1:19">
      <c r="A100" s="1064">
        <f t="shared" si="22"/>
        <v>86</v>
      </c>
      <c r="B100" s="468">
        <v>39705</v>
      </c>
      <c r="C100" s="4" t="s">
        <v>666</v>
      </c>
      <c r="D100" s="448">
        <f>[3]Reserve!$Q148</f>
        <v>-34902.689999999988</v>
      </c>
      <c r="E100" s="581">
        <v>0</v>
      </c>
      <c r="F100" s="581">
        <f t="shared" si="23"/>
        <v>-34902.689999999988</v>
      </c>
      <c r="G100" s="623">
        <f t="shared" ref="G100:H108" si="28">$G$16</f>
        <v>1</v>
      </c>
      <c r="H100" s="623">
        <f t="shared" si="28"/>
        <v>1</v>
      </c>
      <c r="I100" s="581">
        <f t="shared" si="25"/>
        <v>-34902.689999999988</v>
      </c>
      <c r="J100" s="106"/>
      <c r="K100" s="448">
        <f>[3]Reserve!$C148</f>
        <v>-35822.780769230769</v>
      </c>
      <c r="L100" s="624">
        <f t="shared" ref="L100:M108" si="29">$G$16</f>
        <v>1</v>
      </c>
      <c r="M100" s="624">
        <f t="shared" si="29"/>
        <v>1</v>
      </c>
      <c r="N100" s="394">
        <f t="shared" si="27"/>
        <v>-35822.780769230769</v>
      </c>
    </row>
    <row r="101" spans="1:19">
      <c r="A101" s="1064">
        <f t="shared" si="22"/>
        <v>87</v>
      </c>
      <c r="B101" s="468">
        <v>39800</v>
      </c>
      <c r="C101" s="4" t="s">
        <v>1173</v>
      </c>
      <c r="D101" s="448">
        <f>[3]Reserve!$Q149</f>
        <v>1055360.1385439383</v>
      </c>
      <c r="E101" s="581">
        <v>0</v>
      </c>
      <c r="F101" s="581">
        <f t="shared" si="23"/>
        <v>1055360.1385439383</v>
      </c>
      <c r="G101" s="623">
        <f t="shared" si="28"/>
        <v>1</v>
      </c>
      <c r="H101" s="623">
        <f t="shared" si="28"/>
        <v>1</v>
      </c>
      <c r="I101" s="581">
        <f t="shared" si="25"/>
        <v>1055360.1385439383</v>
      </c>
      <c r="J101" s="106"/>
      <c r="K101" s="448">
        <f>[3]Reserve!$C149</f>
        <v>936870.7205181896</v>
      </c>
      <c r="L101" s="624">
        <f t="shared" si="29"/>
        <v>1</v>
      </c>
      <c r="M101" s="624">
        <f t="shared" si="29"/>
        <v>1</v>
      </c>
      <c r="N101" s="394">
        <f t="shared" si="27"/>
        <v>936870.7205181896</v>
      </c>
    </row>
    <row r="102" spans="1:19">
      <c r="A102" s="1064">
        <f t="shared" si="22"/>
        <v>88</v>
      </c>
      <c r="B102" s="468">
        <v>39903</v>
      </c>
      <c r="C102" s="4" t="s">
        <v>1198</v>
      </c>
      <c r="D102" s="448">
        <f>[3]Reserve!$Q150</f>
        <v>14754.001839524566</v>
      </c>
      <c r="E102" s="581">
        <v>0</v>
      </c>
      <c r="F102" s="581">
        <f t="shared" si="23"/>
        <v>14754.001839524566</v>
      </c>
      <c r="G102" s="623">
        <f t="shared" si="28"/>
        <v>1</v>
      </c>
      <c r="H102" s="623">
        <f t="shared" si="28"/>
        <v>1</v>
      </c>
      <c r="I102" s="581">
        <f t="shared" si="25"/>
        <v>14754.001839524566</v>
      </c>
      <c r="J102" s="106"/>
      <c r="K102" s="448">
        <f>[3]Reserve!$C150</f>
        <v>10088.051024134495</v>
      </c>
      <c r="L102" s="624">
        <f t="shared" si="29"/>
        <v>1</v>
      </c>
      <c r="M102" s="624">
        <f t="shared" si="29"/>
        <v>1</v>
      </c>
      <c r="N102" s="394">
        <f t="shared" si="27"/>
        <v>10088.051024134495</v>
      </c>
    </row>
    <row r="103" spans="1:19">
      <c r="A103" s="1064">
        <f t="shared" si="22"/>
        <v>89</v>
      </c>
      <c r="B103" s="468">
        <v>39906</v>
      </c>
      <c r="C103" s="4" t="s">
        <v>520</v>
      </c>
      <c r="D103" s="448">
        <f>[3]Reserve!$Q151</f>
        <v>356878.80758886819</v>
      </c>
      <c r="E103" s="581">
        <v>0</v>
      </c>
      <c r="F103" s="581">
        <f t="shared" si="23"/>
        <v>356878.80758886819</v>
      </c>
      <c r="G103" s="623">
        <f t="shared" si="28"/>
        <v>1</v>
      </c>
      <c r="H103" s="623">
        <f t="shared" si="28"/>
        <v>1</v>
      </c>
      <c r="I103" s="581">
        <f t="shared" si="25"/>
        <v>356878.80758886819</v>
      </c>
      <c r="J103" s="106"/>
      <c r="K103" s="448">
        <f>[3]Reserve!$C151</f>
        <v>300723.8939666833</v>
      </c>
      <c r="L103" s="624">
        <f t="shared" si="29"/>
        <v>1</v>
      </c>
      <c r="M103" s="624">
        <f t="shared" si="29"/>
        <v>1</v>
      </c>
      <c r="N103" s="394">
        <f t="shared" si="27"/>
        <v>300723.8939666833</v>
      </c>
    </row>
    <row r="104" spans="1:19">
      <c r="A104" s="1064">
        <f t="shared" si="22"/>
        <v>90</v>
      </c>
      <c r="B104" s="468">
        <v>39907</v>
      </c>
      <c r="C104" s="4" t="s">
        <v>184</v>
      </c>
      <c r="D104" s="448">
        <f>[3]Reserve!$Q152</f>
        <v>13751.77</v>
      </c>
      <c r="E104" s="581">
        <v>0</v>
      </c>
      <c r="F104" s="581">
        <f t="shared" si="23"/>
        <v>13751.77</v>
      </c>
      <c r="G104" s="623">
        <f t="shared" si="28"/>
        <v>1</v>
      </c>
      <c r="H104" s="623">
        <f t="shared" si="28"/>
        <v>1</v>
      </c>
      <c r="I104" s="581">
        <f t="shared" si="25"/>
        <v>13751.77</v>
      </c>
      <c r="J104" s="106"/>
      <c r="K104" s="448">
        <f>[3]Reserve!$C152</f>
        <v>13751.769999999999</v>
      </c>
      <c r="L104" s="624">
        <f t="shared" si="29"/>
        <v>1</v>
      </c>
      <c r="M104" s="624">
        <f t="shared" si="29"/>
        <v>1</v>
      </c>
      <c r="N104" s="394">
        <f t="shared" si="27"/>
        <v>13751.769999999999</v>
      </c>
    </row>
    <row r="105" spans="1:19">
      <c r="A105" s="1064">
        <f t="shared" si="22"/>
        <v>91</v>
      </c>
      <c r="B105" s="468">
        <v>39908</v>
      </c>
      <c r="C105" s="4" t="s">
        <v>352</v>
      </c>
      <c r="D105" s="448">
        <f>[3]Reserve!$Q153</f>
        <v>123514.83</v>
      </c>
      <c r="E105" s="581">
        <v>0</v>
      </c>
      <c r="F105" s="581">
        <f t="shared" si="23"/>
        <v>123514.83</v>
      </c>
      <c r="G105" s="623">
        <f t="shared" si="28"/>
        <v>1</v>
      </c>
      <c r="H105" s="623">
        <f t="shared" si="28"/>
        <v>1</v>
      </c>
      <c r="I105" s="581">
        <f t="shared" si="25"/>
        <v>123514.83</v>
      </c>
      <c r="J105" s="106"/>
      <c r="K105" s="448">
        <f>[3]Reserve!$C153</f>
        <v>123514.83000000002</v>
      </c>
      <c r="L105" s="624">
        <f t="shared" si="29"/>
        <v>1</v>
      </c>
      <c r="M105" s="624">
        <f t="shared" si="29"/>
        <v>1</v>
      </c>
      <c r="N105" s="394">
        <f t="shared" si="27"/>
        <v>123514.83000000002</v>
      </c>
    </row>
    <row r="106" spans="1:19">
      <c r="A106" s="1064">
        <f t="shared" si="22"/>
        <v>92</v>
      </c>
      <c r="B106" s="468"/>
      <c r="C106" s="4" t="s">
        <v>1164</v>
      </c>
      <c r="D106" s="448">
        <f>[3]Reserve!$Q154</f>
        <v>-6935473.1199999982</v>
      </c>
      <c r="E106" s="581">
        <v>0</v>
      </c>
      <c r="F106" s="581">
        <f t="shared" si="23"/>
        <v>-6935473.1199999982</v>
      </c>
      <c r="G106" s="623">
        <f t="shared" si="28"/>
        <v>1</v>
      </c>
      <c r="H106" s="623">
        <f t="shared" si="28"/>
        <v>1</v>
      </c>
      <c r="I106" s="581">
        <f t="shared" si="25"/>
        <v>-6935473.1199999982</v>
      </c>
      <c r="J106" s="106"/>
      <c r="K106" s="448">
        <f>[3]Reserve!$C154</f>
        <v>-6755363.977692307</v>
      </c>
      <c r="L106" s="624">
        <f t="shared" si="29"/>
        <v>1</v>
      </c>
      <c r="M106" s="624">
        <f t="shared" si="29"/>
        <v>1</v>
      </c>
      <c r="N106" s="394">
        <f t="shared" si="27"/>
        <v>-6755363.977692307</v>
      </c>
    </row>
    <row r="107" spans="1:19" s="1058" customFormat="1">
      <c r="A107" s="1112">
        <f t="shared" si="22"/>
        <v>93</v>
      </c>
      <c r="B107" s="1061"/>
      <c r="C107" s="4" t="s">
        <v>1493</v>
      </c>
      <c r="D107" s="448">
        <f>[3]Reserve!$Q155</f>
        <v>-8.1854523159563541E-12</v>
      </c>
      <c r="E107" s="581"/>
      <c r="F107" s="581">
        <f t="shared" si="23"/>
        <v>-8.1854523159563541E-12</v>
      </c>
      <c r="G107" s="623">
        <f t="shared" si="28"/>
        <v>1</v>
      </c>
      <c r="H107" s="623">
        <f t="shared" si="28"/>
        <v>1</v>
      </c>
      <c r="I107" s="581">
        <f t="shared" si="25"/>
        <v>-8.1854523159563541E-12</v>
      </c>
      <c r="J107" s="106"/>
      <c r="K107" s="448">
        <f>[3]Reserve!$C155</f>
        <v>-400.97615384616199</v>
      </c>
      <c r="L107" s="624">
        <f t="shared" si="29"/>
        <v>1</v>
      </c>
      <c r="M107" s="624">
        <f t="shared" si="29"/>
        <v>1</v>
      </c>
      <c r="N107" s="394">
        <f t="shared" ref="N107" si="30">K107*L107*M107</f>
        <v>-400.97615384616199</v>
      </c>
    </row>
    <row r="108" spans="1:19">
      <c r="A108" s="1112">
        <f t="shared" si="22"/>
        <v>94</v>
      </c>
      <c r="B108" s="468"/>
      <c r="C108" s="4" t="s">
        <v>1293</v>
      </c>
      <c r="D108" s="448">
        <f>[3]Reserve!$Q156</f>
        <v>204969.24000000002</v>
      </c>
      <c r="E108" s="1144"/>
      <c r="F108" s="581">
        <f t="shared" ref="F108" si="31">D108-E108</f>
        <v>204969.24000000002</v>
      </c>
      <c r="G108" s="623">
        <f t="shared" si="28"/>
        <v>1</v>
      </c>
      <c r="H108" s="623">
        <f t="shared" si="28"/>
        <v>1</v>
      </c>
      <c r="I108" s="581">
        <f t="shared" ref="I108" si="32">F108*G108*H108</f>
        <v>204969.24000000002</v>
      </c>
      <c r="J108" s="106"/>
      <c r="K108" s="448">
        <f>[3]Reserve!$C156</f>
        <v>55184.026153846164</v>
      </c>
      <c r="L108" s="624">
        <f t="shared" si="29"/>
        <v>1</v>
      </c>
      <c r="M108" s="624">
        <f t="shared" si="29"/>
        <v>1</v>
      </c>
      <c r="N108" s="394">
        <f t="shared" ref="N108" si="33">K108*L108*M108</f>
        <v>55184.026153846164</v>
      </c>
      <c r="P108" s="797"/>
    </row>
    <row r="109" spans="1:19">
      <c r="A109" s="1112">
        <f t="shared" si="22"/>
        <v>95</v>
      </c>
      <c r="B109" s="468"/>
      <c r="C109" s="4"/>
      <c r="D109" s="1145"/>
      <c r="E109" s="581"/>
      <c r="F109" s="1145"/>
      <c r="G109" s="623"/>
      <c r="H109" s="623"/>
      <c r="I109" s="1145"/>
      <c r="J109" s="106"/>
      <c r="K109" s="1145"/>
      <c r="L109" s="624"/>
      <c r="M109" s="624"/>
      <c r="N109" s="791"/>
    </row>
    <row r="110" spans="1:19">
      <c r="A110" s="1112">
        <f t="shared" si="22"/>
        <v>96</v>
      </c>
      <c r="B110" s="510"/>
      <c r="C110" s="4" t="s">
        <v>1435</v>
      </c>
      <c r="D110" s="448">
        <f>SUM(D86:D109)</f>
        <v>-2722249.7086386532</v>
      </c>
      <c r="E110" s="448">
        <f>SUM(E86:E109)</f>
        <v>0</v>
      </c>
      <c r="F110" s="448">
        <f>SUM(F86:F109)</f>
        <v>-2722249.7086386532</v>
      </c>
      <c r="G110" s="1131"/>
      <c r="H110" s="1131"/>
      <c r="I110" s="448">
        <f>SUM(I86:I109)</f>
        <v>-2722249.7086386532</v>
      </c>
      <c r="J110" s="106"/>
      <c r="K110" s="448">
        <f>SUM(K86:K109)</f>
        <v>-3251775.1701976531</v>
      </c>
      <c r="N110" s="385">
        <f>SUM(N86:N109)</f>
        <v>-3251775.1701976531</v>
      </c>
    </row>
    <row r="111" spans="1:19">
      <c r="A111" s="1112">
        <f t="shared" si="22"/>
        <v>97</v>
      </c>
      <c r="B111" s="510"/>
      <c r="C111" s="4"/>
      <c r="D111" s="581"/>
      <c r="E111" s="581"/>
      <c r="F111" s="581"/>
      <c r="G111" s="1131"/>
      <c r="H111" s="1131"/>
      <c r="I111" s="581"/>
      <c r="J111" s="106"/>
      <c r="K111" s="581"/>
      <c r="N111" s="394"/>
    </row>
    <row r="112" spans="1:19">
      <c r="A112" s="1112">
        <f t="shared" si="22"/>
        <v>98</v>
      </c>
      <c r="B112" s="510"/>
      <c r="C112" s="247" t="s">
        <v>1368</v>
      </c>
      <c r="D112" s="448">
        <f>D110+D83+D59+D47+D26+D19</f>
        <v>161386389.78603655</v>
      </c>
      <c r="E112" s="448">
        <f>E110+E83+E59+E47+E26+E19</f>
        <v>0</v>
      </c>
      <c r="F112" s="448">
        <f>F110+F83+F59+F47+F26+F19</f>
        <v>161386389.78603655</v>
      </c>
      <c r="G112" s="1131"/>
      <c r="H112" s="1131"/>
      <c r="I112" s="448">
        <f>I110+I83+I59+I47+I26+I19</f>
        <v>161386389.78603655</v>
      </c>
      <c r="J112" s="106"/>
      <c r="K112" s="448">
        <f>K110+K83+K59+K47+K26+K19</f>
        <v>158361047.4084959</v>
      </c>
      <c r="N112" s="385">
        <f>N110+N83+N59+N47+N26+N19</f>
        <v>158361047.4084959</v>
      </c>
      <c r="P112" s="1058"/>
      <c r="Q112" s="1058"/>
      <c r="S112" s="1060"/>
    </row>
    <row r="113" spans="1:14">
      <c r="A113" s="1112">
        <f t="shared" si="22"/>
        <v>99</v>
      </c>
      <c r="B113" s="510"/>
      <c r="C113" s="4"/>
      <c r="D113" s="581"/>
      <c r="E113" s="106"/>
      <c r="F113" s="106"/>
      <c r="G113" s="1131"/>
      <c r="H113" s="1131"/>
      <c r="I113" s="106"/>
      <c r="J113" s="106"/>
      <c r="K113" s="106"/>
    </row>
    <row r="114" spans="1:14">
      <c r="A114" s="1112">
        <f t="shared" si="22"/>
        <v>100</v>
      </c>
      <c r="B114" s="511"/>
      <c r="C114" s="107"/>
      <c r="D114" s="581"/>
      <c r="E114" s="106"/>
      <c r="F114" s="106"/>
      <c r="G114" s="1131"/>
      <c r="H114" s="1131"/>
      <c r="I114" s="106"/>
      <c r="J114" s="106"/>
      <c r="K114" s="106"/>
    </row>
    <row r="115" spans="1:14">
      <c r="A115" s="1112">
        <f t="shared" si="22"/>
        <v>101</v>
      </c>
      <c r="B115" s="406"/>
      <c r="D115" s="581"/>
      <c r="E115" s="106"/>
      <c r="F115" s="106"/>
      <c r="G115" s="1131"/>
      <c r="H115" s="1131"/>
      <c r="I115" s="106"/>
      <c r="J115" s="106"/>
      <c r="K115" s="106"/>
    </row>
    <row r="116" spans="1:14" ht="15.75">
      <c r="A116" s="1112">
        <f t="shared" si="22"/>
        <v>102</v>
      </c>
      <c r="B116" s="419" t="s">
        <v>7</v>
      </c>
      <c r="D116" s="581"/>
      <c r="E116" s="106"/>
      <c r="F116" s="106"/>
      <c r="G116" s="1131"/>
      <c r="H116" s="1131"/>
      <c r="I116" s="106"/>
      <c r="J116" s="106"/>
      <c r="K116" s="106"/>
    </row>
    <row r="117" spans="1:14">
      <c r="A117" s="1112">
        <f t="shared" si="22"/>
        <v>103</v>
      </c>
      <c r="B117" s="406"/>
      <c r="D117" s="581"/>
      <c r="E117" s="106"/>
      <c r="F117" s="106"/>
      <c r="G117" s="1131"/>
      <c r="H117" s="1131"/>
      <c r="I117" s="106"/>
      <c r="J117" s="106"/>
      <c r="K117" s="106"/>
    </row>
    <row r="118" spans="1:14">
      <c r="A118" s="1112">
        <f t="shared" si="22"/>
        <v>104</v>
      </c>
      <c r="B118" s="510"/>
      <c r="C118" s="17" t="s">
        <v>305</v>
      </c>
      <c r="D118" s="581"/>
      <c r="E118" s="106"/>
      <c r="F118" s="106"/>
      <c r="G118" s="1131"/>
      <c r="H118" s="1131"/>
      <c r="I118" s="106"/>
      <c r="J118" s="106"/>
      <c r="K118" s="106"/>
    </row>
    <row r="119" spans="1:14">
      <c r="A119" s="1112">
        <f t="shared" si="22"/>
        <v>105</v>
      </c>
      <c r="B119" s="685">
        <v>30100</v>
      </c>
      <c r="C119" s="4" t="s">
        <v>299</v>
      </c>
      <c r="D119" s="448">
        <f>[3]Reserve!$Q61</f>
        <v>0</v>
      </c>
      <c r="E119" s="448">
        <v>0</v>
      </c>
      <c r="F119" s="448">
        <f>D119+E119</f>
        <v>0</v>
      </c>
      <c r="G119" s="623">
        <f>$G$16</f>
        <v>1</v>
      </c>
      <c r="H119" s="625">
        <f>Allocation!$H$17</f>
        <v>0.49090457251500325</v>
      </c>
      <c r="I119" s="448">
        <f>F119*G119*H119</f>
        <v>0</v>
      </c>
      <c r="J119" s="106"/>
      <c r="K119" s="448">
        <f>[3]Reserve!$C61</f>
        <v>0</v>
      </c>
      <c r="L119" s="624">
        <f t="shared" ref="L119:M120" si="34">G119</f>
        <v>1</v>
      </c>
      <c r="M119" s="558">
        <f t="shared" si="34"/>
        <v>0.49090457251500325</v>
      </c>
      <c r="N119" s="385">
        <f>K119*L119*M119</f>
        <v>0</v>
      </c>
    </row>
    <row r="120" spans="1:14">
      <c r="A120" s="1112">
        <f t="shared" si="22"/>
        <v>106</v>
      </c>
      <c r="B120" s="685">
        <v>30300</v>
      </c>
      <c r="C120" s="4" t="s">
        <v>558</v>
      </c>
      <c r="D120" s="448">
        <f>[3]Reserve!$Q62</f>
        <v>0</v>
      </c>
      <c r="E120" s="496">
        <v>0</v>
      </c>
      <c r="F120" s="496">
        <f>D120+E120</f>
        <v>0</v>
      </c>
      <c r="G120" s="623">
        <f>$G$16</f>
        <v>1</v>
      </c>
      <c r="H120" s="625">
        <f>$H$119</f>
        <v>0.49090457251500325</v>
      </c>
      <c r="I120" s="1144">
        <f>F120*G120*H120</f>
        <v>0</v>
      </c>
      <c r="J120" s="106"/>
      <c r="K120" s="448">
        <f>[3]Reserve!$C62</f>
        <v>0</v>
      </c>
      <c r="L120" s="624">
        <f t="shared" si="34"/>
        <v>1</v>
      </c>
      <c r="M120" s="558">
        <f t="shared" si="34"/>
        <v>0.49090457251500325</v>
      </c>
      <c r="N120" s="395">
        <f>K120*L120*M120</f>
        <v>0</v>
      </c>
    </row>
    <row r="121" spans="1:14">
      <c r="A121" s="1112">
        <f t="shared" si="22"/>
        <v>107</v>
      </c>
      <c r="B121" s="685"/>
      <c r="C121" s="4"/>
      <c r="D121" s="812"/>
      <c r="E121" s="812"/>
      <c r="F121" s="812"/>
      <c r="G121" s="1131"/>
      <c r="H121" s="1131"/>
      <c r="I121" s="106"/>
      <c r="J121" s="106"/>
      <c r="K121" s="106"/>
    </row>
    <row r="122" spans="1:14">
      <c r="A122" s="1112">
        <f t="shared" si="22"/>
        <v>108</v>
      </c>
      <c r="B122" s="468"/>
      <c r="C122" s="4" t="s">
        <v>306</v>
      </c>
      <c r="D122" s="448">
        <f>SUM(D119:D121)</f>
        <v>0</v>
      </c>
      <c r="E122" s="448">
        <f>SUM(E119:E121)</f>
        <v>0</v>
      </c>
      <c r="F122" s="448">
        <f>SUM(F119:F121)</f>
        <v>0</v>
      </c>
      <c r="G122" s="623"/>
      <c r="H122" s="623"/>
      <c r="I122" s="448">
        <f>SUM(I119:I121)</f>
        <v>0</v>
      </c>
      <c r="J122" s="106"/>
      <c r="K122" s="448">
        <f>SUM(K119:K121)</f>
        <v>0</v>
      </c>
      <c r="N122" s="385">
        <f>SUM(N119:N121)</f>
        <v>0</v>
      </c>
    </row>
    <row r="123" spans="1:14">
      <c r="A123" s="1112">
        <f t="shared" si="22"/>
        <v>109</v>
      </c>
      <c r="B123" s="687"/>
      <c r="D123" s="106"/>
      <c r="E123" s="106"/>
      <c r="F123" s="106"/>
      <c r="G123" s="1131"/>
      <c r="H123" s="1131"/>
      <c r="I123" s="106"/>
      <c r="J123" s="106"/>
      <c r="K123" s="106"/>
    </row>
    <row r="124" spans="1:14">
      <c r="A124" s="1112">
        <f t="shared" si="22"/>
        <v>110</v>
      </c>
      <c r="B124" s="468"/>
      <c r="C124" s="17" t="s">
        <v>307</v>
      </c>
      <c r="D124" s="106"/>
      <c r="E124" s="106"/>
      <c r="F124" s="106"/>
      <c r="G124" s="1131"/>
      <c r="H124" s="1131"/>
      <c r="I124" s="106"/>
      <c r="J124" s="106"/>
      <c r="K124" s="106"/>
    </row>
    <row r="125" spans="1:14">
      <c r="A125" s="1112">
        <f t="shared" si="22"/>
        <v>111</v>
      </c>
      <c r="B125" s="685">
        <v>37400</v>
      </c>
      <c r="C125" s="4" t="s">
        <v>1168</v>
      </c>
      <c r="D125" s="448">
        <v>0</v>
      </c>
      <c r="E125" s="448">
        <v>0</v>
      </c>
      <c r="F125" s="448">
        <f t="shared" ref="F125:F145" si="35">D125+E125</f>
        <v>0</v>
      </c>
      <c r="G125" s="623">
        <f t="shared" ref="G125:G145" si="36">$G$16</f>
        <v>1</v>
      </c>
      <c r="H125" s="625">
        <f t="shared" ref="H125:H145" si="37">$H$119</f>
        <v>0.49090457251500325</v>
      </c>
      <c r="I125" s="448">
        <f t="shared" ref="I125:I145" si="38">F125*G125*H125</f>
        <v>0</v>
      </c>
      <c r="J125" s="106"/>
      <c r="K125" s="448">
        <v>0</v>
      </c>
      <c r="L125" s="624">
        <f t="shared" ref="L125:L145" si="39">G125</f>
        <v>1</v>
      </c>
      <c r="M125" s="625">
        <f t="shared" ref="M125:M145" si="40">H125</f>
        <v>0.49090457251500325</v>
      </c>
      <c r="N125" s="385">
        <f t="shared" ref="N125:N145" si="41">K125*L125*M125</f>
        <v>0</v>
      </c>
    </row>
    <row r="126" spans="1:14">
      <c r="A126" s="1112">
        <f t="shared" si="22"/>
        <v>112</v>
      </c>
      <c r="B126" s="685">
        <v>35010</v>
      </c>
      <c r="C126" s="4" t="s">
        <v>300</v>
      </c>
      <c r="D126" s="581">
        <v>0</v>
      </c>
      <c r="E126" s="581">
        <v>0</v>
      </c>
      <c r="F126" s="581">
        <f t="shared" si="35"/>
        <v>0</v>
      </c>
      <c r="G126" s="623">
        <f t="shared" si="36"/>
        <v>1</v>
      </c>
      <c r="H126" s="625">
        <f t="shared" si="37"/>
        <v>0.49090457251500325</v>
      </c>
      <c r="I126" s="581">
        <f t="shared" si="38"/>
        <v>0</v>
      </c>
      <c r="J126" s="106"/>
      <c r="K126" s="581">
        <v>0</v>
      </c>
      <c r="L126" s="624">
        <f t="shared" si="39"/>
        <v>1</v>
      </c>
      <c r="M126" s="625">
        <f t="shared" si="40"/>
        <v>0.49090457251500325</v>
      </c>
      <c r="N126" s="394">
        <f t="shared" si="41"/>
        <v>0</v>
      </c>
    </row>
    <row r="127" spans="1:14">
      <c r="A127" s="1112">
        <f t="shared" si="22"/>
        <v>113</v>
      </c>
      <c r="B127" s="685">
        <v>37402</v>
      </c>
      <c r="C127" s="4" t="s">
        <v>1018</v>
      </c>
      <c r="D127" s="581">
        <v>0</v>
      </c>
      <c r="E127" s="581">
        <v>0</v>
      </c>
      <c r="F127" s="581">
        <f t="shared" si="35"/>
        <v>0</v>
      </c>
      <c r="G127" s="623">
        <f t="shared" si="36"/>
        <v>1</v>
      </c>
      <c r="H127" s="625">
        <f t="shared" si="37"/>
        <v>0.49090457251500325</v>
      </c>
      <c r="I127" s="581">
        <f t="shared" si="38"/>
        <v>0</v>
      </c>
      <c r="J127" s="106"/>
      <c r="K127" s="581">
        <v>0</v>
      </c>
      <c r="L127" s="624">
        <f t="shared" si="39"/>
        <v>1</v>
      </c>
      <c r="M127" s="625">
        <f t="shared" si="40"/>
        <v>0.49090457251500325</v>
      </c>
      <c r="N127" s="394">
        <f t="shared" si="41"/>
        <v>0</v>
      </c>
    </row>
    <row r="128" spans="1:14">
      <c r="A128" s="1112">
        <f t="shared" si="22"/>
        <v>114</v>
      </c>
      <c r="B128" s="685">
        <v>37403</v>
      </c>
      <c r="C128" s="4" t="s">
        <v>1015</v>
      </c>
      <c r="D128" s="581">
        <v>0</v>
      </c>
      <c r="E128" s="581">
        <v>0</v>
      </c>
      <c r="F128" s="581">
        <f t="shared" si="35"/>
        <v>0</v>
      </c>
      <c r="G128" s="623">
        <f t="shared" si="36"/>
        <v>1</v>
      </c>
      <c r="H128" s="625">
        <f t="shared" si="37"/>
        <v>0.49090457251500325</v>
      </c>
      <c r="I128" s="581">
        <f t="shared" si="38"/>
        <v>0</v>
      </c>
      <c r="J128" s="106"/>
      <c r="K128" s="581">
        <v>0</v>
      </c>
      <c r="L128" s="624">
        <f t="shared" si="39"/>
        <v>1</v>
      </c>
      <c r="M128" s="625">
        <f t="shared" si="40"/>
        <v>0.49090457251500325</v>
      </c>
      <c r="N128" s="394">
        <f t="shared" si="41"/>
        <v>0</v>
      </c>
    </row>
    <row r="129" spans="1:14">
      <c r="A129" s="1112">
        <f t="shared" si="22"/>
        <v>115</v>
      </c>
      <c r="B129" s="685">
        <v>36602</v>
      </c>
      <c r="C129" s="4" t="s">
        <v>874</v>
      </c>
      <c r="D129" s="581">
        <v>0</v>
      </c>
      <c r="E129" s="581">
        <v>0</v>
      </c>
      <c r="F129" s="581">
        <f t="shared" si="35"/>
        <v>0</v>
      </c>
      <c r="G129" s="623">
        <f t="shared" si="36"/>
        <v>1</v>
      </c>
      <c r="H129" s="625">
        <f t="shared" si="37"/>
        <v>0.49090457251500325</v>
      </c>
      <c r="I129" s="581">
        <f t="shared" si="38"/>
        <v>0</v>
      </c>
      <c r="J129" s="106"/>
      <c r="K129" s="581">
        <v>0</v>
      </c>
      <c r="L129" s="624">
        <f t="shared" si="39"/>
        <v>1</v>
      </c>
      <c r="M129" s="625">
        <f t="shared" si="40"/>
        <v>0.49090457251500325</v>
      </c>
      <c r="N129" s="394">
        <f t="shared" si="41"/>
        <v>0</v>
      </c>
    </row>
    <row r="130" spans="1:14">
      <c r="A130" s="1112">
        <f t="shared" si="22"/>
        <v>116</v>
      </c>
      <c r="B130" s="685">
        <v>37501</v>
      </c>
      <c r="C130" s="4" t="s">
        <v>1016</v>
      </c>
      <c r="D130" s="581">
        <v>0</v>
      </c>
      <c r="E130" s="581">
        <v>0</v>
      </c>
      <c r="F130" s="581">
        <f t="shared" si="35"/>
        <v>0</v>
      </c>
      <c r="G130" s="623">
        <f t="shared" si="36"/>
        <v>1</v>
      </c>
      <c r="H130" s="625">
        <f t="shared" si="37"/>
        <v>0.49090457251500325</v>
      </c>
      <c r="I130" s="581">
        <f t="shared" si="38"/>
        <v>0</v>
      </c>
      <c r="J130" s="106"/>
      <c r="K130" s="581">
        <v>0</v>
      </c>
      <c r="L130" s="624">
        <f t="shared" si="39"/>
        <v>1</v>
      </c>
      <c r="M130" s="625">
        <f t="shared" si="40"/>
        <v>0.49090457251500325</v>
      </c>
      <c r="N130" s="394">
        <f t="shared" si="41"/>
        <v>0</v>
      </c>
    </row>
    <row r="131" spans="1:14">
      <c r="A131" s="1112">
        <f t="shared" si="22"/>
        <v>117</v>
      </c>
      <c r="B131" s="685">
        <v>37402</v>
      </c>
      <c r="C131" s="4" t="s">
        <v>1018</v>
      </c>
      <c r="D131" s="581">
        <v>0</v>
      </c>
      <c r="E131" s="581">
        <v>0</v>
      </c>
      <c r="F131" s="581">
        <f t="shared" si="35"/>
        <v>0</v>
      </c>
      <c r="G131" s="623">
        <f t="shared" si="36"/>
        <v>1</v>
      </c>
      <c r="H131" s="625">
        <f t="shared" si="37"/>
        <v>0.49090457251500325</v>
      </c>
      <c r="I131" s="581">
        <f t="shared" si="38"/>
        <v>0</v>
      </c>
      <c r="J131" s="106"/>
      <c r="K131" s="581">
        <v>0</v>
      </c>
      <c r="L131" s="624">
        <f t="shared" si="39"/>
        <v>1</v>
      </c>
      <c r="M131" s="625">
        <f t="shared" si="40"/>
        <v>0.49090457251500325</v>
      </c>
      <c r="N131" s="394">
        <f t="shared" si="41"/>
        <v>0</v>
      </c>
    </row>
    <row r="132" spans="1:14">
      <c r="A132" s="1112">
        <f t="shared" si="22"/>
        <v>118</v>
      </c>
      <c r="B132" s="685">
        <v>37503</v>
      </c>
      <c r="C132" s="4" t="s">
        <v>1017</v>
      </c>
      <c r="D132" s="581">
        <v>0</v>
      </c>
      <c r="E132" s="581">
        <v>0</v>
      </c>
      <c r="F132" s="581">
        <f t="shared" si="35"/>
        <v>0</v>
      </c>
      <c r="G132" s="623">
        <f t="shared" si="36"/>
        <v>1</v>
      </c>
      <c r="H132" s="625">
        <f t="shared" si="37"/>
        <v>0.49090457251500325</v>
      </c>
      <c r="I132" s="581">
        <f t="shared" si="38"/>
        <v>0</v>
      </c>
      <c r="J132" s="106"/>
      <c r="K132" s="581">
        <v>0</v>
      </c>
      <c r="L132" s="624">
        <f t="shared" si="39"/>
        <v>1</v>
      </c>
      <c r="M132" s="625">
        <f t="shared" si="40"/>
        <v>0.49090457251500325</v>
      </c>
      <c r="N132" s="394">
        <f t="shared" si="41"/>
        <v>0</v>
      </c>
    </row>
    <row r="133" spans="1:14">
      <c r="A133" s="1112">
        <f t="shared" si="22"/>
        <v>119</v>
      </c>
      <c r="B133" s="685">
        <v>36700</v>
      </c>
      <c r="C133" s="4" t="s">
        <v>861</v>
      </c>
      <c r="D133" s="581">
        <v>0</v>
      </c>
      <c r="E133" s="581">
        <v>0</v>
      </c>
      <c r="F133" s="581">
        <f t="shared" si="35"/>
        <v>0</v>
      </c>
      <c r="G133" s="623">
        <f t="shared" si="36"/>
        <v>1</v>
      </c>
      <c r="H133" s="625">
        <f t="shared" si="37"/>
        <v>0.49090457251500325</v>
      </c>
      <c r="I133" s="581">
        <f t="shared" si="38"/>
        <v>0</v>
      </c>
      <c r="J133" s="106"/>
      <c r="K133" s="581">
        <v>0</v>
      </c>
      <c r="L133" s="624">
        <f t="shared" si="39"/>
        <v>1</v>
      </c>
      <c r="M133" s="625">
        <f t="shared" si="40"/>
        <v>0.49090457251500325</v>
      </c>
      <c r="N133" s="394">
        <f t="shared" si="41"/>
        <v>0</v>
      </c>
    </row>
    <row r="134" spans="1:14">
      <c r="A134" s="1112">
        <f t="shared" si="22"/>
        <v>120</v>
      </c>
      <c r="B134" s="685">
        <v>36701</v>
      </c>
      <c r="C134" s="4" t="s">
        <v>16</v>
      </c>
      <c r="D134" s="581">
        <v>0</v>
      </c>
      <c r="E134" s="581">
        <v>0</v>
      </c>
      <c r="F134" s="581">
        <f t="shared" si="35"/>
        <v>0</v>
      </c>
      <c r="G134" s="623">
        <f t="shared" si="36"/>
        <v>1</v>
      </c>
      <c r="H134" s="625">
        <f t="shared" si="37"/>
        <v>0.49090457251500325</v>
      </c>
      <c r="I134" s="581">
        <f t="shared" si="38"/>
        <v>0</v>
      </c>
      <c r="J134" s="106"/>
      <c r="K134" s="581">
        <v>0</v>
      </c>
      <c r="L134" s="624">
        <f t="shared" si="39"/>
        <v>1</v>
      </c>
      <c r="M134" s="625">
        <f t="shared" si="40"/>
        <v>0.49090457251500325</v>
      </c>
      <c r="N134" s="394">
        <f t="shared" si="41"/>
        <v>0</v>
      </c>
    </row>
    <row r="135" spans="1:14">
      <c r="A135" s="1112">
        <f t="shared" si="22"/>
        <v>121</v>
      </c>
      <c r="B135" s="685">
        <v>37602</v>
      </c>
      <c r="C135" s="4" t="s">
        <v>862</v>
      </c>
      <c r="D135" s="581">
        <v>0</v>
      </c>
      <c r="E135" s="581">
        <v>0</v>
      </c>
      <c r="F135" s="581">
        <f t="shared" si="35"/>
        <v>0</v>
      </c>
      <c r="G135" s="623">
        <f t="shared" si="36"/>
        <v>1</v>
      </c>
      <c r="H135" s="625">
        <f t="shared" si="37"/>
        <v>0.49090457251500325</v>
      </c>
      <c r="I135" s="581">
        <f t="shared" si="38"/>
        <v>0</v>
      </c>
      <c r="J135" s="106"/>
      <c r="K135" s="581">
        <v>0</v>
      </c>
      <c r="L135" s="624">
        <f t="shared" si="39"/>
        <v>1</v>
      </c>
      <c r="M135" s="625">
        <f t="shared" si="40"/>
        <v>0.49090457251500325</v>
      </c>
      <c r="N135" s="394">
        <f t="shared" si="41"/>
        <v>0</v>
      </c>
    </row>
    <row r="136" spans="1:14">
      <c r="A136" s="1112">
        <f t="shared" si="22"/>
        <v>122</v>
      </c>
      <c r="B136" s="685">
        <v>37800</v>
      </c>
      <c r="C136" s="4" t="s">
        <v>234</v>
      </c>
      <c r="D136" s="581">
        <v>0</v>
      </c>
      <c r="E136" s="581">
        <v>0</v>
      </c>
      <c r="F136" s="581">
        <f t="shared" si="35"/>
        <v>0</v>
      </c>
      <c r="G136" s="623">
        <f t="shared" si="36"/>
        <v>1</v>
      </c>
      <c r="H136" s="625">
        <f t="shared" si="37"/>
        <v>0.49090457251500325</v>
      </c>
      <c r="I136" s="581">
        <f t="shared" si="38"/>
        <v>0</v>
      </c>
      <c r="J136" s="106"/>
      <c r="K136" s="581">
        <v>0</v>
      </c>
      <c r="L136" s="624">
        <f t="shared" si="39"/>
        <v>1</v>
      </c>
      <c r="M136" s="625">
        <f t="shared" si="40"/>
        <v>0.49090457251500325</v>
      </c>
      <c r="N136" s="394">
        <f t="shared" si="41"/>
        <v>0</v>
      </c>
    </row>
    <row r="137" spans="1:14">
      <c r="A137" s="1112">
        <f t="shared" si="22"/>
        <v>123</v>
      </c>
      <c r="B137" s="685">
        <v>37900</v>
      </c>
      <c r="C137" s="4" t="s">
        <v>1211</v>
      </c>
      <c r="D137" s="581">
        <v>0</v>
      </c>
      <c r="E137" s="581">
        <v>0</v>
      </c>
      <c r="F137" s="581">
        <f t="shared" si="35"/>
        <v>0</v>
      </c>
      <c r="G137" s="623">
        <f t="shared" si="36"/>
        <v>1</v>
      </c>
      <c r="H137" s="625">
        <f t="shared" si="37"/>
        <v>0.49090457251500325</v>
      </c>
      <c r="I137" s="581">
        <f t="shared" si="38"/>
        <v>0</v>
      </c>
      <c r="J137" s="106"/>
      <c r="K137" s="581">
        <v>0</v>
      </c>
      <c r="L137" s="624">
        <f t="shared" si="39"/>
        <v>1</v>
      </c>
      <c r="M137" s="625">
        <f t="shared" si="40"/>
        <v>0.49090457251500325</v>
      </c>
      <c r="N137" s="394">
        <f t="shared" si="41"/>
        <v>0</v>
      </c>
    </row>
    <row r="138" spans="1:14">
      <c r="A138" s="1112">
        <f t="shared" si="22"/>
        <v>124</v>
      </c>
      <c r="B138" s="685">
        <v>37905</v>
      </c>
      <c r="C138" s="4" t="s">
        <v>742</v>
      </c>
      <c r="D138" s="581">
        <v>0</v>
      </c>
      <c r="E138" s="581">
        <v>0</v>
      </c>
      <c r="F138" s="581">
        <f t="shared" si="35"/>
        <v>0</v>
      </c>
      <c r="G138" s="623">
        <f t="shared" si="36"/>
        <v>1</v>
      </c>
      <c r="H138" s="625">
        <f t="shared" si="37"/>
        <v>0.49090457251500325</v>
      </c>
      <c r="I138" s="581">
        <f t="shared" si="38"/>
        <v>0</v>
      </c>
      <c r="J138" s="106"/>
      <c r="K138" s="581">
        <v>0</v>
      </c>
      <c r="L138" s="624">
        <f t="shared" si="39"/>
        <v>1</v>
      </c>
      <c r="M138" s="625">
        <f t="shared" si="40"/>
        <v>0.49090457251500325</v>
      </c>
      <c r="N138" s="394">
        <f t="shared" si="41"/>
        <v>0</v>
      </c>
    </row>
    <row r="139" spans="1:14">
      <c r="A139" s="1112">
        <f t="shared" si="22"/>
        <v>125</v>
      </c>
      <c r="B139" s="685">
        <v>38000</v>
      </c>
      <c r="C139" s="4" t="s">
        <v>1072</v>
      </c>
      <c r="D139" s="581">
        <v>0</v>
      </c>
      <c r="E139" s="581">
        <v>0</v>
      </c>
      <c r="F139" s="581">
        <f t="shared" si="35"/>
        <v>0</v>
      </c>
      <c r="G139" s="623">
        <f t="shared" si="36"/>
        <v>1</v>
      </c>
      <c r="H139" s="625">
        <f t="shared" si="37"/>
        <v>0.49090457251500325</v>
      </c>
      <c r="I139" s="581">
        <f t="shared" si="38"/>
        <v>0</v>
      </c>
      <c r="J139" s="106"/>
      <c r="K139" s="581">
        <v>0</v>
      </c>
      <c r="L139" s="624">
        <f t="shared" si="39"/>
        <v>1</v>
      </c>
      <c r="M139" s="625">
        <f t="shared" si="40"/>
        <v>0.49090457251500325</v>
      </c>
      <c r="N139" s="394">
        <f t="shared" si="41"/>
        <v>0</v>
      </c>
    </row>
    <row r="140" spans="1:14">
      <c r="A140" s="1112">
        <f t="shared" si="22"/>
        <v>126</v>
      </c>
      <c r="B140" s="685">
        <v>38100</v>
      </c>
      <c r="C140" s="4" t="s">
        <v>863</v>
      </c>
      <c r="D140" s="581">
        <v>0</v>
      </c>
      <c r="E140" s="581">
        <v>0</v>
      </c>
      <c r="F140" s="581">
        <f t="shared" si="35"/>
        <v>0</v>
      </c>
      <c r="G140" s="623">
        <f t="shared" si="36"/>
        <v>1</v>
      </c>
      <c r="H140" s="625">
        <f t="shared" si="37"/>
        <v>0.49090457251500325</v>
      </c>
      <c r="I140" s="581">
        <f t="shared" si="38"/>
        <v>0</v>
      </c>
      <c r="J140" s="106"/>
      <c r="K140" s="581">
        <v>0</v>
      </c>
      <c r="L140" s="624">
        <f t="shared" si="39"/>
        <v>1</v>
      </c>
      <c r="M140" s="625">
        <f t="shared" si="40"/>
        <v>0.49090457251500325</v>
      </c>
      <c r="N140" s="394">
        <f t="shared" si="41"/>
        <v>0</v>
      </c>
    </row>
    <row r="141" spans="1:14">
      <c r="A141" s="1112">
        <f t="shared" si="22"/>
        <v>127</v>
      </c>
      <c r="B141" s="685">
        <v>38200</v>
      </c>
      <c r="C141" s="4" t="s">
        <v>456</v>
      </c>
      <c r="D141" s="581">
        <v>0</v>
      </c>
      <c r="E141" s="581">
        <v>0</v>
      </c>
      <c r="F141" s="581">
        <f t="shared" si="35"/>
        <v>0</v>
      </c>
      <c r="G141" s="623">
        <f t="shared" si="36"/>
        <v>1</v>
      </c>
      <c r="H141" s="625">
        <f t="shared" si="37"/>
        <v>0.49090457251500325</v>
      </c>
      <c r="I141" s="581">
        <f t="shared" si="38"/>
        <v>0</v>
      </c>
      <c r="J141" s="106"/>
      <c r="K141" s="581">
        <v>0</v>
      </c>
      <c r="L141" s="624">
        <f t="shared" si="39"/>
        <v>1</v>
      </c>
      <c r="M141" s="625">
        <f t="shared" si="40"/>
        <v>0.49090457251500325</v>
      </c>
      <c r="N141" s="394">
        <f t="shared" si="41"/>
        <v>0</v>
      </c>
    </row>
    <row r="142" spans="1:14">
      <c r="A142" s="1112">
        <f t="shared" si="22"/>
        <v>128</v>
      </c>
      <c r="B142" s="685">
        <v>38300</v>
      </c>
      <c r="C142" s="4" t="s">
        <v>1073</v>
      </c>
      <c r="D142" s="581">
        <v>0</v>
      </c>
      <c r="E142" s="581">
        <v>0</v>
      </c>
      <c r="F142" s="581">
        <f t="shared" si="35"/>
        <v>0</v>
      </c>
      <c r="G142" s="623">
        <f t="shared" si="36"/>
        <v>1</v>
      </c>
      <c r="H142" s="625">
        <f t="shared" si="37"/>
        <v>0.49090457251500325</v>
      </c>
      <c r="I142" s="581">
        <f t="shared" si="38"/>
        <v>0</v>
      </c>
      <c r="J142" s="106"/>
      <c r="K142" s="581">
        <v>0</v>
      </c>
      <c r="L142" s="624">
        <f t="shared" si="39"/>
        <v>1</v>
      </c>
      <c r="M142" s="625">
        <f t="shared" si="40"/>
        <v>0.49090457251500325</v>
      </c>
      <c r="N142" s="394">
        <f t="shared" si="41"/>
        <v>0</v>
      </c>
    </row>
    <row r="143" spans="1:14">
      <c r="A143" s="1112">
        <f t="shared" si="22"/>
        <v>129</v>
      </c>
      <c r="B143" s="685">
        <v>38400</v>
      </c>
      <c r="C143" s="4" t="s">
        <v>457</v>
      </c>
      <c r="D143" s="581">
        <v>0</v>
      </c>
      <c r="E143" s="581">
        <v>0</v>
      </c>
      <c r="F143" s="581">
        <f t="shared" si="35"/>
        <v>0</v>
      </c>
      <c r="G143" s="623">
        <f t="shared" si="36"/>
        <v>1</v>
      </c>
      <c r="H143" s="625">
        <f t="shared" si="37"/>
        <v>0.49090457251500325</v>
      </c>
      <c r="I143" s="581">
        <f t="shared" si="38"/>
        <v>0</v>
      </c>
      <c r="J143" s="106"/>
      <c r="K143" s="581">
        <v>0</v>
      </c>
      <c r="L143" s="624">
        <f t="shared" si="39"/>
        <v>1</v>
      </c>
      <c r="M143" s="625">
        <f t="shared" si="40"/>
        <v>0.49090457251500325</v>
      </c>
      <c r="N143" s="394">
        <f t="shared" si="41"/>
        <v>0</v>
      </c>
    </row>
    <row r="144" spans="1:14">
      <c r="A144" s="1112">
        <f t="shared" si="22"/>
        <v>130</v>
      </c>
      <c r="B144" s="685">
        <v>38500</v>
      </c>
      <c r="C144" s="4" t="s">
        <v>458</v>
      </c>
      <c r="D144" s="581">
        <v>0</v>
      </c>
      <c r="E144" s="581">
        <v>0</v>
      </c>
      <c r="F144" s="581">
        <f t="shared" si="35"/>
        <v>0</v>
      </c>
      <c r="G144" s="623">
        <f t="shared" si="36"/>
        <v>1</v>
      </c>
      <c r="H144" s="625">
        <f t="shared" si="37"/>
        <v>0.49090457251500325</v>
      </c>
      <c r="I144" s="581">
        <f t="shared" si="38"/>
        <v>0</v>
      </c>
      <c r="J144" s="106"/>
      <c r="K144" s="581">
        <v>0</v>
      </c>
      <c r="L144" s="624">
        <f t="shared" si="39"/>
        <v>1</v>
      </c>
      <c r="M144" s="625">
        <f t="shared" si="40"/>
        <v>0.49090457251500325</v>
      </c>
      <c r="N144" s="394">
        <f t="shared" si="41"/>
        <v>0</v>
      </c>
    </row>
    <row r="145" spans="1:19">
      <c r="A145" s="1112">
        <f t="shared" si="22"/>
        <v>131</v>
      </c>
      <c r="B145" s="685">
        <v>38600</v>
      </c>
      <c r="C145" s="4" t="s">
        <v>111</v>
      </c>
      <c r="D145" s="1144">
        <v>0</v>
      </c>
      <c r="E145" s="1144">
        <v>0</v>
      </c>
      <c r="F145" s="1144">
        <f t="shared" si="35"/>
        <v>0</v>
      </c>
      <c r="G145" s="623">
        <f t="shared" si="36"/>
        <v>1</v>
      </c>
      <c r="H145" s="625">
        <f t="shared" si="37"/>
        <v>0.49090457251500325</v>
      </c>
      <c r="I145" s="1144">
        <f t="shared" si="38"/>
        <v>0</v>
      </c>
      <c r="J145" s="106"/>
      <c r="K145" s="1144">
        <v>0</v>
      </c>
      <c r="L145" s="624">
        <f t="shared" si="39"/>
        <v>1</v>
      </c>
      <c r="M145" s="625">
        <f t="shared" si="40"/>
        <v>0.49090457251500325</v>
      </c>
      <c r="N145" s="395">
        <f t="shared" si="41"/>
        <v>0</v>
      </c>
    </row>
    <row r="146" spans="1:19">
      <c r="A146" s="1112">
        <f t="shared" ref="A146:A209" si="42">A145+1</f>
        <v>132</v>
      </c>
      <c r="B146" s="685"/>
      <c r="C146" s="4"/>
      <c r="D146" s="106"/>
      <c r="E146" s="106"/>
      <c r="F146" s="106"/>
      <c r="G146" s="1131"/>
      <c r="H146" s="1131"/>
      <c r="I146" s="106"/>
      <c r="J146" s="106"/>
      <c r="K146" s="106"/>
      <c r="M146" s="625"/>
    </row>
    <row r="147" spans="1:19">
      <c r="A147" s="1112">
        <f t="shared" si="42"/>
        <v>133</v>
      </c>
      <c r="B147" s="685"/>
      <c r="C147" s="4" t="s">
        <v>308</v>
      </c>
      <c r="D147" s="448">
        <f>SUM(D125:D146)</f>
        <v>0</v>
      </c>
      <c r="E147" s="448">
        <f>SUM(E125:E146)</f>
        <v>0</v>
      </c>
      <c r="F147" s="448">
        <f>SUM(F125:F146)</f>
        <v>0</v>
      </c>
      <c r="G147" s="1131"/>
      <c r="H147" s="1131"/>
      <c r="I147" s="448">
        <f>SUM(I125:I146)</f>
        <v>0</v>
      </c>
      <c r="J147" s="106"/>
      <c r="K147" s="448">
        <f>SUM(K125:K146)</f>
        <v>0</v>
      </c>
      <c r="M147" s="625"/>
      <c r="N147" s="385">
        <f>SUM(N125:N146)</f>
        <v>0</v>
      </c>
    </row>
    <row r="148" spans="1:19">
      <c r="A148" s="1112">
        <f t="shared" si="42"/>
        <v>134</v>
      </c>
      <c r="B148" s="685"/>
      <c r="C148" s="4"/>
      <c r="D148" s="106"/>
      <c r="E148" s="106"/>
      <c r="F148" s="106"/>
      <c r="G148" s="1131"/>
      <c r="H148" s="1131"/>
      <c r="I148" s="106"/>
      <c r="J148" s="106"/>
      <c r="K148" s="106"/>
      <c r="M148" s="625"/>
    </row>
    <row r="149" spans="1:19">
      <c r="A149" s="1112">
        <f t="shared" si="42"/>
        <v>135</v>
      </c>
      <c r="B149" s="468"/>
      <c r="C149" s="17" t="s">
        <v>309</v>
      </c>
      <c r="D149" s="106"/>
      <c r="E149" s="106"/>
      <c r="F149" s="106"/>
      <c r="G149" s="1131"/>
      <c r="H149" s="1131"/>
      <c r="I149" s="106"/>
      <c r="J149" s="106"/>
      <c r="K149" s="106"/>
      <c r="M149" s="625"/>
    </row>
    <row r="150" spans="1:19">
      <c r="A150" s="1112">
        <f t="shared" si="42"/>
        <v>136</v>
      </c>
      <c r="B150" s="685">
        <v>39001</v>
      </c>
      <c r="C150" s="4" t="s">
        <v>556</v>
      </c>
      <c r="D150" s="448">
        <f>[3]Reserve!$Q63</f>
        <v>88685.677838000003</v>
      </c>
      <c r="E150" s="815">
        <v>0</v>
      </c>
      <c r="F150" s="448">
        <f t="shared" ref="F150:F165" si="43">D150+E150</f>
        <v>88685.677838000003</v>
      </c>
      <c r="G150" s="625">
        <f t="shared" ref="G150:G166" si="44">$G$16</f>
        <v>1</v>
      </c>
      <c r="H150" s="625">
        <f t="shared" ref="H150:H166" si="45">$H$119</f>
        <v>0.49090457251500325</v>
      </c>
      <c r="I150" s="581">
        <f t="shared" ref="I150:I166" si="46">F150*G150*H150</f>
        <v>43536.204767266689</v>
      </c>
      <c r="J150" s="106"/>
      <c r="K150" s="448">
        <f>[3]Reserve!$C63</f>
        <v>85879.037494846169</v>
      </c>
      <c r="L150" s="625">
        <f t="shared" ref="L150:L166" si="47">G150</f>
        <v>1</v>
      </c>
      <c r="M150" s="558">
        <f t="shared" ref="M150:M166" si="48">H150</f>
        <v>0.49090457251500325</v>
      </c>
      <c r="N150" s="385">
        <f t="shared" ref="N150:N166" si="49">K150*L150*M150</f>
        <v>42158.412189407391</v>
      </c>
      <c r="P150" s="685"/>
      <c r="R150" s="78"/>
      <c r="S150" s="78"/>
    </row>
    <row r="151" spans="1:19">
      <c r="A151" s="1112">
        <f t="shared" si="42"/>
        <v>137</v>
      </c>
      <c r="B151" s="685">
        <v>39004</v>
      </c>
      <c r="C151" s="4" t="s">
        <v>459</v>
      </c>
      <c r="D151" s="448">
        <f>[3]Reserve!$Q64</f>
        <v>6348.1</v>
      </c>
      <c r="E151" s="581">
        <v>0</v>
      </c>
      <c r="F151" s="581">
        <f t="shared" si="43"/>
        <v>6348.1</v>
      </c>
      <c r="G151" s="623">
        <f t="shared" si="44"/>
        <v>1</v>
      </c>
      <c r="H151" s="625">
        <f t="shared" si="45"/>
        <v>0.49090457251500325</v>
      </c>
      <c r="I151" s="581">
        <f t="shared" si="46"/>
        <v>3116.3113167824922</v>
      </c>
      <c r="J151" s="106"/>
      <c r="K151" s="448">
        <f>[3]Reserve!$C64</f>
        <v>6348.1</v>
      </c>
      <c r="L151" s="624">
        <f t="shared" si="47"/>
        <v>1</v>
      </c>
      <c r="M151" s="625">
        <f t="shared" si="48"/>
        <v>0.49090457251500325</v>
      </c>
      <c r="N151" s="394">
        <f t="shared" si="49"/>
        <v>3116.3113167824922</v>
      </c>
      <c r="P151" s="685"/>
      <c r="R151" s="78"/>
      <c r="S151" s="78"/>
    </row>
    <row r="152" spans="1:19">
      <c r="A152" s="1112">
        <f t="shared" si="42"/>
        <v>138</v>
      </c>
      <c r="B152" s="685">
        <v>39009</v>
      </c>
      <c r="C152" s="4" t="s">
        <v>1056</v>
      </c>
      <c r="D152" s="448">
        <f>[3]Reserve!$Q65</f>
        <v>38834</v>
      </c>
      <c r="E152" s="581">
        <v>0</v>
      </c>
      <c r="F152" s="581">
        <f t="shared" si="43"/>
        <v>38834</v>
      </c>
      <c r="G152" s="623">
        <f t="shared" si="44"/>
        <v>1</v>
      </c>
      <c r="H152" s="625">
        <f t="shared" si="45"/>
        <v>0.49090457251500325</v>
      </c>
      <c r="I152" s="581">
        <f t="shared" si="46"/>
        <v>19063.788169047635</v>
      </c>
      <c r="J152" s="106"/>
      <c r="K152" s="448">
        <f>[3]Reserve!$C65</f>
        <v>38834</v>
      </c>
      <c r="L152" s="624">
        <f t="shared" si="47"/>
        <v>1</v>
      </c>
      <c r="M152" s="625">
        <f t="shared" si="48"/>
        <v>0.49090457251500325</v>
      </c>
      <c r="N152" s="394">
        <f t="shared" si="49"/>
        <v>19063.788169047635</v>
      </c>
      <c r="P152" s="685"/>
      <c r="R152" s="78"/>
      <c r="S152" s="78"/>
    </row>
    <row r="153" spans="1:19">
      <c r="A153" s="1112">
        <f t="shared" si="42"/>
        <v>139</v>
      </c>
      <c r="B153" s="685">
        <v>39100</v>
      </c>
      <c r="C153" s="4" t="s">
        <v>796</v>
      </c>
      <c r="D153" s="448">
        <f>[3]Reserve!$Q66</f>
        <v>41004.220500000003</v>
      </c>
      <c r="E153" s="581">
        <v>0</v>
      </c>
      <c r="F153" s="581">
        <f t="shared" si="43"/>
        <v>41004.220500000003</v>
      </c>
      <c r="G153" s="623">
        <f t="shared" si="44"/>
        <v>1</v>
      </c>
      <c r="H153" s="625">
        <f t="shared" si="45"/>
        <v>0.49090457251500325</v>
      </c>
      <c r="I153" s="581">
        <f t="shared" si="46"/>
        <v>20129.159335863435</v>
      </c>
      <c r="J153" s="106"/>
      <c r="K153" s="448">
        <f>[3]Reserve!$C66</f>
        <v>40234.098596153854</v>
      </c>
      <c r="L153" s="624">
        <f t="shared" si="47"/>
        <v>1</v>
      </c>
      <c r="M153" s="625">
        <f t="shared" si="48"/>
        <v>0.49090457251500325</v>
      </c>
      <c r="N153" s="394">
        <f t="shared" si="49"/>
        <v>19751.102971871398</v>
      </c>
      <c r="P153" s="685"/>
      <c r="R153" s="78"/>
      <c r="S153" s="78"/>
    </row>
    <row r="154" spans="1:19">
      <c r="A154" s="1112">
        <f t="shared" si="42"/>
        <v>140</v>
      </c>
      <c r="B154" s="685">
        <v>39200</v>
      </c>
      <c r="C154" s="4" t="s">
        <v>1096</v>
      </c>
      <c r="D154" s="448">
        <f>[3]Reserve!$Q67</f>
        <v>4041.2681614999992</v>
      </c>
      <c r="E154" s="581">
        <v>0</v>
      </c>
      <c r="F154" s="581">
        <f t="shared" si="43"/>
        <v>4041.2681614999992</v>
      </c>
      <c r="G154" s="623">
        <f t="shared" si="44"/>
        <v>1</v>
      </c>
      <c r="H154" s="625">
        <f t="shared" si="45"/>
        <v>0.49090457251500325</v>
      </c>
      <c r="I154" s="581">
        <f t="shared" si="46"/>
        <v>1983.8770192396503</v>
      </c>
      <c r="J154" s="106"/>
      <c r="K154" s="448">
        <f>[3]Reserve!$C67</f>
        <v>3941.1102742499997</v>
      </c>
      <c r="L154" s="624">
        <f t="shared" si="47"/>
        <v>1</v>
      </c>
      <c r="M154" s="625">
        <f t="shared" si="48"/>
        <v>0.49090457251500325</v>
      </c>
      <c r="N154" s="394">
        <f t="shared" si="49"/>
        <v>1934.7090544151833</v>
      </c>
      <c r="P154" s="685"/>
      <c r="R154" s="78"/>
      <c r="S154" s="78"/>
    </row>
    <row r="155" spans="1:19">
      <c r="A155" s="1112">
        <f t="shared" si="42"/>
        <v>141</v>
      </c>
      <c r="B155" s="685">
        <v>39400</v>
      </c>
      <c r="C155" s="4" t="s">
        <v>1055</v>
      </c>
      <c r="D155" s="448">
        <f>[3]Reserve!$Q68</f>
        <v>137827.05662400011</v>
      </c>
      <c r="E155" s="581">
        <v>0</v>
      </c>
      <c r="F155" s="581">
        <f t="shared" si="43"/>
        <v>137827.05662400011</v>
      </c>
      <c r="G155" s="623">
        <f t="shared" si="44"/>
        <v>1</v>
      </c>
      <c r="H155" s="625">
        <f t="shared" si="45"/>
        <v>0.49090457251500325</v>
      </c>
      <c r="I155" s="581">
        <f t="shared" si="46"/>
        <v>67659.93231300592</v>
      </c>
      <c r="J155" s="106"/>
      <c r="K155" s="448">
        <f>[3]Reserve!$C68</f>
        <v>132241.58986030775</v>
      </c>
      <c r="L155" s="624">
        <f t="shared" si="47"/>
        <v>1</v>
      </c>
      <c r="M155" s="625">
        <f t="shared" si="48"/>
        <v>0.49090457251500325</v>
      </c>
      <c r="N155" s="394">
        <f t="shared" si="49"/>
        <v>64918.001139078762</v>
      </c>
      <c r="P155" s="685"/>
      <c r="R155" s="78"/>
      <c r="S155" s="78"/>
    </row>
    <row r="156" spans="1:19">
      <c r="A156" s="1112">
        <f t="shared" si="42"/>
        <v>142</v>
      </c>
      <c r="B156" s="685">
        <v>39600</v>
      </c>
      <c r="C156" s="4" t="s">
        <v>557</v>
      </c>
      <c r="D156" s="448">
        <f>[3]Reserve!$Q69</f>
        <v>5229.3787325000012</v>
      </c>
      <c r="E156" s="581">
        <v>0</v>
      </c>
      <c r="F156" s="581">
        <f t="shared" si="43"/>
        <v>5229.3787325000012</v>
      </c>
      <c r="G156" s="623">
        <f t="shared" si="44"/>
        <v>1</v>
      </c>
      <c r="H156" s="625">
        <f t="shared" si="45"/>
        <v>0.49090457251500325</v>
      </c>
      <c r="I156" s="581">
        <f t="shared" si="46"/>
        <v>2567.1259311969625</v>
      </c>
      <c r="J156" s="106"/>
      <c r="K156" s="448">
        <f>[3]Reserve!$C69</f>
        <v>7493.1800433653852</v>
      </c>
      <c r="L156" s="624">
        <f t="shared" si="47"/>
        <v>1</v>
      </c>
      <c r="M156" s="625">
        <f t="shared" si="48"/>
        <v>0.49090457251500325</v>
      </c>
      <c r="N156" s="394">
        <f t="shared" si="49"/>
        <v>3678.4363459662382</v>
      </c>
      <c r="P156" s="685"/>
      <c r="R156" s="78"/>
      <c r="S156" s="78"/>
    </row>
    <row r="157" spans="1:19">
      <c r="A157" s="1112">
        <f t="shared" si="42"/>
        <v>143</v>
      </c>
      <c r="B157" s="468">
        <v>39700</v>
      </c>
      <c r="C157" s="4" t="s">
        <v>454</v>
      </c>
      <c r="D157" s="448">
        <f>[3]Reserve!$Q70</f>
        <v>216863.88054700012</v>
      </c>
      <c r="E157" s="581">
        <v>0</v>
      </c>
      <c r="F157" s="581">
        <f t="shared" si="43"/>
        <v>216863.88054700012</v>
      </c>
      <c r="G157" s="623">
        <f t="shared" si="44"/>
        <v>1</v>
      </c>
      <c r="H157" s="625">
        <f t="shared" si="45"/>
        <v>0.49090457251500325</v>
      </c>
      <c r="I157" s="581">
        <f t="shared" si="46"/>
        <v>106459.47057386982</v>
      </c>
      <c r="J157" s="106"/>
      <c r="K157" s="448">
        <f>[3]Reserve!$C70</f>
        <v>209046.36745496161</v>
      </c>
      <c r="L157" s="624">
        <f t="shared" si="47"/>
        <v>1</v>
      </c>
      <c r="M157" s="625">
        <f t="shared" si="48"/>
        <v>0.49090457251500325</v>
      </c>
      <c r="N157" s="394">
        <f t="shared" si="49"/>
        <v>102621.81765129222</v>
      </c>
      <c r="P157" s="685"/>
      <c r="R157" s="78"/>
      <c r="S157" s="78"/>
    </row>
    <row r="158" spans="1:19">
      <c r="A158" s="1112">
        <f t="shared" si="42"/>
        <v>144</v>
      </c>
      <c r="B158" s="468">
        <v>39800</v>
      </c>
      <c r="C158" s="4" t="s">
        <v>666</v>
      </c>
      <c r="D158" s="448">
        <f>[3]Reserve!$Q71</f>
        <v>624630.72807366645</v>
      </c>
      <c r="E158" s="581">
        <v>0</v>
      </c>
      <c r="F158" s="581">
        <f t="shared" si="43"/>
        <v>624630.72807366645</v>
      </c>
      <c r="G158" s="623">
        <f t="shared" si="44"/>
        <v>1</v>
      </c>
      <c r="H158" s="625">
        <f t="shared" si="45"/>
        <v>0.49090457251500325</v>
      </c>
      <c r="I158" s="581">
        <f t="shared" si="46"/>
        <v>306634.08054473845</v>
      </c>
      <c r="J158" s="106"/>
      <c r="K158" s="448">
        <f>[3]Reserve!$C71</f>
        <v>602203.95085957681</v>
      </c>
      <c r="L158" s="624">
        <f t="shared" si="47"/>
        <v>1</v>
      </c>
      <c r="M158" s="625">
        <f t="shared" si="48"/>
        <v>0.49090457251500325</v>
      </c>
      <c r="N158" s="394">
        <f t="shared" si="49"/>
        <v>295624.67306356656</v>
      </c>
      <c r="P158" s="685"/>
      <c r="R158" s="78"/>
      <c r="S158" s="78"/>
    </row>
    <row r="159" spans="1:19">
      <c r="A159" s="1112">
        <f t="shared" si="42"/>
        <v>145</v>
      </c>
      <c r="B159" s="468">
        <v>39900</v>
      </c>
      <c r="C159" s="4" t="s">
        <v>1173</v>
      </c>
      <c r="D159" s="448">
        <f>[3]Reserve!$Q72</f>
        <v>76993.22</v>
      </c>
      <c r="E159" s="581">
        <v>0</v>
      </c>
      <c r="F159" s="581">
        <f t="shared" si="43"/>
        <v>76993.22</v>
      </c>
      <c r="G159" s="623">
        <f t="shared" si="44"/>
        <v>1</v>
      </c>
      <c r="H159" s="625">
        <f t="shared" si="45"/>
        <v>0.49090457251500325</v>
      </c>
      <c r="I159" s="581">
        <f t="shared" si="46"/>
        <v>37796.323750653595</v>
      </c>
      <c r="J159" s="106"/>
      <c r="K159" s="448">
        <f>[3]Reserve!$C72</f>
        <v>76993.219999999987</v>
      </c>
      <c r="L159" s="624">
        <f t="shared" si="47"/>
        <v>1</v>
      </c>
      <c r="M159" s="625">
        <f t="shared" si="48"/>
        <v>0.49090457251500325</v>
      </c>
      <c r="N159" s="394">
        <f t="shared" si="49"/>
        <v>37796.323750653595</v>
      </c>
      <c r="P159" s="685"/>
      <c r="R159" s="78"/>
      <c r="S159" s="78"/>
    </row>
    <row r="160" spans="1:19">
      <c r="A160" s="1112">
        <f t="shared" si="42"/>
        <v>146</v>
      </c>
      <c r="B160" s="468">
        <v>39901</v>
      </c>
      <c r="C160" s="4" t="s">
        <v>489</v>
      </c>
      <c r="D160" s="448">
        <f>[3]Reserve!$Q73</f>
        <v>309938.31893800001</v>
      </c>
      <c r="E160" s="581">
        <v>0</v>
      </c>
      <c r="F160" s="581">
        <f t="shared" si="43"/>
        <v>309938.31893800001</v>
      </c>
      <c r="G160" s="623">
        <f t="shared" si="44"/>
        <v>1</v>
      </c>
      <c r="H160" s="625">
        <f t="shared" si="45"/>
        <v>0.49090457251500325</v>
      </c>
      <c r="I160" s="581">
        <f t="shared" si="46"/>
        <v>152150.13796427764</v>
      </c>
      <c r="J160" s="106"/>
      <c r="K160" s="448">
        <f>[3]Reserve!$C73</f>
        <v>292831.89971407695</v>
      </c>
      <c r="L160" s="624">
        <f t="shared" si="47"/>
        <v>1</v>
      </c>
      <c r="M160" s="625">
        <f t="shared" si="48"/>
        <v>0.49090457251500325</v>
      </c>
      <c r="N160" s="394">
        <f t="shared" si="49"/>
        <v>143752.51854789525</v>
      </c>
      <c r="P160" s="685"/>
      <c r="R160" s="78"/>
      <c r="S160" s="78"/>
    </row>
    <row r="161" spans="1:19">
      <c r="A161" s="1112">
        <f t="shared" si="42"/>
        <v>147</v>
      </c>
      <c r="B161" s="468">
        <v>39902</v>
      </c>
      <c r="C161" s="4" t="s">
        <v>979</v>
      </c>
      <c r="D161" s="448">
        <f>[3]Reserve!$Q74</f>
        <v>8273.14</v>
      </c>
      <c r="E161" s="581">
        <v>0</v>
      </c>
      <c r="F161" s="581">
        <f t="shared" si="43"/>
        <v>8273.14</v>
      </c>
      <c r="G161" s="623">
        <f t="shared" si="44"/>
        <v>1</v>
      </c>
      <c r="H161" s="625">
        <f t="shared" si="45"/>
        <v>0.49090457251500325</v>
      </c>
      <c r="I161" s="581">
        <f t="shared" si="46"/>
        <v>4061.3222550567739</v>
      </c>
      <c r="J161" s="106"/>
      <c r="K161" s="448">
        <f>[3]Reserve!$C74</f>
        <v>8273.14</v>
      </c>
      <c r="L161" s="624">
        <f t="shared" si="47"/>
        <v>1</v>
      </c>
      <c r="M161" s="625">
        <f t="shared" si="48"/>
        <v>0.49090457251500325</v>
      </c>
      <c r="N161" s="394">
        <f t="shared" si="49"/>
        <v>4061.3222550567739</v>
      </c>
      <c r="P161" s="685"/>
      <c r="R161" s="78"/>
      <c r="S161" s="78"/>
    </row>
    <row r="162" spans="1:19">
      <c r="A162" s="1112">
        <f t="shared" si="42"/>
        <v>148</v>
      </c>
      <c r="B162" s="468">
        <v>39903</v>
      </c>
      <c r="C162" s="4" t="s">
        <v>1022</v>
      </c>
      <c r="D162" s="448">
        <f>[3]Reserve!$Q75</f>
        <v>209357.66</v>
      </c>
      <c r="E162" s="581">
        <v>0</v>
      </c>
      <c r="F162" s="581">
        <f t="shared" si="43"/>
        <v>209357.66</v>
      </c>
      <c r="G162" s="623">
        <f t="shared" si="44"/>
        <v>1</v>
      </c>
      <c r="H162" s="625">
        <f t="shared" si="45"/>
        <v>0.49090457251500325</v>
      </c>
      <c r="I162" s="581">
        <f t="shared" si="46"/>
        <v>102774.6325850414</v>
      </c>
      <c r="J162" s="106"/>
      <c r="K162" s="448">
        <f>[3]Reserve!$C75</f>
        <v>209357.66</v>
      </c>
      <c r="L162" s="624">
        <f t="shared" si="47"/>
        <v>1</v>
      </c>
      <c r="M162" s="625">
        <f t="shared" si="48"/>
        <v>0.49090457251500325</v>
      </c>
      <c r="N162" s="394">
        <f t="shared" si="49"/>
        <v>102774.6325850414</v>
      </c>
      <c r="P162" s="685"/>
      <c r="R162" s="78"/>
      <c r="S162" s="78"/>
    </row>
    <row r="163" spans="1:19">
      <c r="A163" s="1112">
        <f t="shared" si="42"/>
        <v>149</v>
      </c>
      <c r="B163" s="468">
        <v>39906</v>
      </c>
      <c r="C163" s="4" t="s">
        <v>465</v>
      </c>
      <c r="D163" s="448">
        <f>[3]Reserve!$Q76</f>
        <v>325080.33999999991</v>
      </c>
      <c r="E163" s="581">
        <v>0</v>
      </c>
      <c r="F163" s="581">
        <f t="shared" si="43"/>
        <v>325080.33999999991</v>
      </c>
      <c r="G163" s="623">
        <f t="shared" si="44"/>
        <v>1</v>
      </c>
      <c r="H163" s="625">
        <f t="shared" si="45"/>
        <v>0.49090457251500325</v>
      </c>
      <c r="I163" s="581">
        <f t="shared" si="46"/>
        <v>159583.42534073186</v>
      </c>
      <c r="J163" s="106"/>
      <c r="K163" s="448">
        <f>[3]Reserve!$C76</f>
        <v>316760.233076923</v>
      </c>
      <c r="L163" s="624">
        <f t="shared" si="47"/>
        <v>1</v>
      </c>
      <c r="M163" s="625">
        <f t="shared" si="48"/>
        <v>0.49090457251500325</v>
      </c>
      <c r="N163" s="394">
        <f t="shared" si="49"/>
        <v>155499.04680837967</v>
      </c>
      <c r="P163" s="685"/>
      <c r="R163" s="78"/>
      <c r="S163" s="78"/>
    </row>
    <row r="164" spans="1:19">
      <c r="A164" s="1112">
        <f t="shared" si="42"/>
        <v>150</v>
      </c>
      <c r="B164" s="468">
        <v>39907</v>
      </c>
      <c r="C164" s="4" t="s">
        <v>520</v>
      </c>
      <c r="D164" s="448">
        <f>[3]Reserve!$Q77</f>
        <v>52185.591001499975</v>
      </c>
      <c r="E164" s="581">
        <v>0</v>
      </c>
      <c r="F164" s="581">
        <f t="shared" si="43"/>
        <v>52185.591001499975</v>
      </c>
      <c r="G164" s="623">
        <f t="shared" si="44"/>
        <v>1</v>
      </c>
      <c r="H164" s="625">
        <f t="shared" si="45"/>
        <v>0.49090457251500325</v>
      </c>
      <c r="I164" s="581">
        <f t="shared" si="46"/>
        <v>25618.145242034145</v>
      </c>
      <c r="J164" s="106"/>
      <c r="K164" s="448">
        <f>[3]Reserve!$C77</f>
        <v>47142.13411578846</v>
      </c>
      <c r="L164" s="624">
        <f t="shared" si="47"/>
        <v>1</v>
      </c>
      <c r="M164" s="558">
        <f t="shared" si="48"/>
        <v>0.49090457251500325</v>
      </c>
      <c r="N164" s="394">
        <f t="shared" si="49"/>
        <v>23142.289195556084</v>
      </c>
      <c r="P164" s="685"/>
      <c r="R164" s="78"/>
      <c r="S164" s="78"/>
    </row>
    <row r="165" spans="1:19">
      <c r="A165" s="1112">
        <f t="shared" si="42"/>
        <v>151</v>
      </c>
      <c r="B165" s="468">
        <v>39908</v>
      </c>
      <c r="C165" s="4" t="s">
        <v>184</v>
      </c>
      <c r="D165" s="448">
        <f>[3]Reserve!$Q78</f>
        <v>898473.13</v>
      </c>
      <c r="E165" s="581">
        <v>0</v>
      </c>
      <c r="F165" s="581">
        <f t="shared" si="43"/>
        <v>898473.13</v>
      </c>
      <c r="G165" s="623">
        <f t="shared" si="44"/>
        <v>1</v>
      </c>
      <c r="H165" s="625">
        <f t="shared" si="45"/>
        <v>0.49090457251500325</v>
      </c>
      <c r="I165" s="581">
        <f t="shared" si="46"/>
        <v>441064.56779886695</v>
      </c>
      <c r="J165" s="106"/>
      <c r="K165" s="448">
        <f>[3]Reserve!$C78</f>
        <v>896439.6792307694</v>
      </c>
      <c r="L165" s="624">
        <f t="shared" si="47"/>
        <v>1</v>
      </c>
      <c r="M165" s="558">
        <f t="shared" si="48"/>
        <v>0.49090457251500325</v>
      </c>
      <c r="N165" s="394">
        <f t="shared" si="49"/>
        <v>440066.33751826751</v>
      </c>
      <c r="P165" s="685"/>
      <c r="R165" s="78"/>
      <c r="S165" s="78"/>
    </row>
    <row r="166" spans="1:19">
      <c r="A166" s="1112">
        <f t="shared" si="42"/>
        <v>152</v>
      </c>
      <c r="B166" s="468"/>
      <c r="C166" s="4" t="s">
        <v>1164</v>
      </c>
      <c r="D166" s="448">
        <f>[3]Reserve!$Q79</f>
        <v>57506.510000000009</v>
      </c>
      <c r="E166" s="1085"/>
      <c r="F166" s="1085"/>
      <c r="G166" s="623">
        <f t="shared" si="44"/>
        <v>1</v>
      </c>
      <c r="H166" s="625">
        <f t="shared" si="45"/>
        <v>0.49090457251500325</v>
      </c>
      <c r="I166" s="1144">
        <f t="shared" si="46"/>
        <v>0</v>
      </c>
      <c r="J166" s="106"/>
      <c r="K166" s="448">
        <f>[3]Reserve!$C79</f>
        <v>57509.186153846167</v>
      </c>
      <c r="L166" s="624">
        <f t="shared" si="47"/>
        <v>1</v>
      </c>
      <c r="M166" s="558">
        <f t="shared" si="48"/>
        <v>0.49090457251500325</v>
      </c>
      <c r="N166" s="395">
        <f t="shared" si="49"/>
        <v>28231.522444539598</v>
      </c>
      <c r="R166" s="78"/>
      <c r="S166" s="78"/>
    </row>
    <row r="167" spans="1:19">
      <c r="A167" s="1112">
        <f t="shared" si="42"/>
        <v>153</v>
      </c>
      <c r="B167" s="510"/>
      <c r="C167" s="4"/>
      <c r="D167" s="812"/>
      <c r="E167" s="812"/>
      <c r="F167" s="812"/>
      <c r="G167" s="1131"/>
      <c r="H167" s="1131"/>
      <c r="I167" s="106"/>
      <c r="J167" s="106"/>
      <c r="K167" s="106"/>
    </row>
    <row r="168" spans="1:19">
      <c r="A168" s="1112">
        <f t="shared" si="42"/>
        <v>154</v>
      </c>
      <c r="B168" s="510"/>
      <c r="C168" s="4" t="s">
        <v>4</v>
      </c>
      <c r="D168" s="448">
        <f>SUM(D150:D166)</f>
        <v>3101272.2204161659</v>
      </c>
      <c r="E168" s="448">
        <f>SUM(E150:E166)</f>
        <v>0</v>
      </c>
      <c r="F168" s="448">
        <f>SUM(F150:F166)</f>
        <v>3043765.7104161661</v>
      </c>
      <c r="G168" s="1131"/>
      <c r="H168" s="1131"/>
      <c r="I168" s="448">
        <f>SUM(I150:I166)</f>
        <v>1494198.5049076735</v>
      </c>
      <c r="J168" s="106"/>
      <c r="K168" s="448">
        <f>SUM(K150:K166)</f>
        <v>3031528.5868748655</v>
      </c>
      <c r="N168" s="385">
        <f>SUM(N150:N166)</f>
        <v>1488191.2450068179</v>
      </c>
    </row>
    <row r="169" spans="1:19">
      <c r="A169" s="1112">
        <f t="shared" si="42"/>
        <v>155</v>
      </c>
      <c r="B169" s="510"/>
      <c r="C169" s="4"/>
      <c r="D169" s="106"/>
      <c r="E169" s="106"/>
      <c r="F169" s="106"/>
      <c r="G169" s="1131"/>
      <c r="H169" s="1131"/>
      <c r="I169" s="106"/>
      <c r="J169" s="106"/>
      <c r="K169" s="106"/>
    </row>
    <row r="170" spans="1:19" ht="15.75" thickBot="1">
      <c r="A170" s="1112">
        <f t="shared" si="42"/>
        <v>156</v>
      </c>
      <c r="B170" s="510"/>
      <c r="C170" s="247" t="s">
        <v>1371</v>
      </c>
      <c r="D170" s="428">
        <f>D122+D147+D168</f>
        <v>3101272.2204161659</v>
      </c>
      <c r="E170" s="428">
        <f>E122+E147+E168</f>
        <v>0</v>
      </c>
      <c r="F170" s="428">
        <f>F122+F147+F168</f>
        <v>3043765.7104161661</v>
      </c>
      <c r="G170" s="1131"/>
      <c r="H170" s="1131"/>
      <c r="I170" s="428">
        <f>I122+I147+I168</f>
        <v>1494198.5049076735</v>
      </c>
      <c r="J170" s="106"/>
      <c r="K170" s="428">
        <f>K122+K147+K168</f>
        <v>3031528.5868748655</v>
      </c>
      <c r="N170" s="425">
        <f>N122+N147+N168</f>
        <v>1488191.2450068179</v>
      </c>
      <c r="P170" s="1058"/>
      <c r="Q170" s="1058"/>
    </row>
    <row r="171" spans="1:19" ht="15.75" thickTop="1">
      <c r="A171" s="1112">
        <f t="shared" si="42"/>
        <v>157</v>
      </c>
      <c r="B171" s="406"/>
      <c r="D171" s="581"/>
      <c r="E171" s="427"/>
      <c r="F171" s="106"/>
      <c r="G171" s="1131"/>
      <c r="H171" s="1131"/>
      <c r="I171" s="106"/>
      <c r="J171" s="106"/>
      <c r="K171" s="106"/>
    </row>
    <row r="172" spans="1:19" ht="15.75">
      <c r="A172" s="1112">
        <f t="shared" si="42"/>
        <v>158</v>
      </c>
      <c r="B172" s="419" t="s">
        <v>8</v>
      </c>
      <c r="D172" s="581"/>
      <c r="E172" s="427"/>
      <c r="F172" s="106"/>
      <c r="G172" s="1131"/>
      <c r="H172" s="1131"/>
      <c r="I172" s="106"/>
      <c r="J172" s="106"/>
      <c r="K172" s="106"/>
    </row>
    <row r="173" spans="1:19">
      <c r="A173" s="1112">
        <f t="shared" si="42"/>
        <v>159</v>
      </c>
      <c r="D173" s="581"/>
      <c r="E173" s="106"/>
      <c r="F173" s="106"/>
      <c r="G173" s="1131"/>
      <c r="H173" s="1131"/>
      <c r="I173" s="106"/>
      <c r="J173" s="106"/>
      <c r="K173" s="106"/>
      <c r="L173" s="241"/>
    </row>
    <row r="174" spans="1:19">
      <c r="A174" s="1112">
        <f t="shared" si="42"/>
        <v>160</v>
      </c>
      <c r="B174" s="510"/>
      <c r="C174" s="813" t="s">
        <v>309</v>
      </c>
      <c r="D174" s="581"/>
      <c r="E174" s="106"/>
      <c r="F174" s="106"/>
      <c r="G174" s="1131"/>
      <c r="H174" s="1131"/>
      <c r="I174" s="106"/>
      <c r="J174" s="106"/>
      <c r="K174" s="106"/>
      <c r="L174" s="241"/>
    </row>
    <row r="175" spans="1:19">
      <c r="A175" s="1112">
        <f t="shared" si="42"/>
        <v>161</v>
      </c>
      <c r="B175" s="685">
        <v>39000</v>
      </c>
      <c r="C175" s="115" t="s">
        <v>874</v>
      </c>
      <c r="D175" s="448">
        <f>[3]Reserve!$Q7</f>
        <v>288628.61663131107</v>
      </c>
      <c r="E175" s="815">
        <v>0</v>
      </c>
      <c r="F175" s="448">
        <f t="shared" ref="F175:F199" si="50">D175+E175</f>
        <v>288628.61663131107</v>
      </c>
      <c r="G175" s="625">
        <f>Allocation!$G$14</f>
        <v>0.1071</v>
      </c>
      <c r="H175" s="625">
        <f>Allocation!$H$14</f>
        <v>0.49090457251500325</v>
      </c>
      <c r="I175" s="581">
        <f t="shared" ref="I175:I199" si="51">F175*G175*H175</f>
        <v>15174.903430706285</v>
      </c>
      <c r="J175" s="106"/>
      <c r="K175" s="448">
        <f>[3]Reserve!$C7</f>
        <v>251636.65538667177</v>
      </c>
      <c r="L175" s="625">
        <f t="shared" ref="L175" si="52">G175</f>
        <v>0.1071</v>
      </c>
      <c r="M175" s="558">
        <f t="shared" ref="M175:M199" si="53">H175</f>
        <v>0.49090457251500325</v>
      </c>
      <c r="N175" s="385">
        <f t="shared" ref="N175:N199" si="54">K175*L175*M175</f>
        <v>13230.018525835994</v>
      </c>
      <c r="P175" s="875"/>
      <c r="R175" s="78"/>
      <c r="S175" s="78"/>
    </row>
    <row r="176" spans="1:19">
      <c r="A176" s="1112">
        <f t="shared" si="42"/>
        <v>162</v>
      </c>
      <c r="B176" s="685">
        <v>39005</v>
      </c>
      <c r="C176" s="115" t="s">
        <v>1217</v>
      </c>
      <c r="D176" s="448">
        <f>[3]Reserve!$Q8</f>
        <v>4065670.6085170005</v>
      </c>
      <c r="E176" s="815">
        <v>0</v>
      </c>
      <c r="F176" s="581">
        <f t="shared" si="50"/>
        <v>4065670.6085170005</v>
      </c>
      <c r="G176" s="625">
        <v>1</v>
      </c>
      <c r="H176" s="625">
        <f>Allocation!$I$20</f>
        <v>1.5418259551017742E-2</v>
      </c>
      <c r="I176" s="581">
        <f t="shared" si="51"/>
        <v>62685.564691059357</v>
      </c>
      <c r="J176" s="106"/>
      <c r="K176" s="448">
        <f>[3]Reserve!$C8</f>
        <v>3861438.4353699619</v>
      </c>
      <c r="L176" s="625">
        <f>L175</f>
        <v>0.1071</v>
      </c>
      <c r="M176" s="558">
        <f t="shared" si="53"/>
        <v>1.5418259551017742E-2</v>
      </c>
      <c r="N176" s="394">
        <f t="shared" si="54"/>
        <v>6376.3762899423427</v>
      </c>
      <c r="P176" s="875"/>
      <c r="R176" s="78"/>
      <c r="S176" s="78"/>
    </row>
    <row r="177" spans="1:19">
      <c r="A177" s="1112">
        <f t="shared" si="42"/>
        <v>163</v>
      </c>
      <c r="B177" s="685">
        <v>39009</v>
      </c>
      <c r="C177" s="115" t="s">
        <v>1056</v>
      </c>
      <c r="D177" s="448">
        <f>[3]Reserve!$Q9</f>
        <v>9125113.919392867</v>
      </c>
      <c r="E177" s="815">
        <v>0</v>
      </c>
      <c r="F177" s="581">
        <f t="shared" si="50"/>
        <v>9125113.919392867</v>
      </c>
      <c r="G177" s="625">
        <f>$G$175</f>
        <v>0.1071</v>
      </c>
      <c r="H177" s="625">
        <f>$H$175</f>
        <v>0.49090457251500325</v>
      </c>
      <c r="I177" s="581">
        <f t="shared" si="51"/>
        <v>479760.89182405302</v>
      </c>
      <c r="J177" s="106"/>
      <c r="K177" s="448">
        <f>[3]Reserve!$C9</f>
        <v>8979793.3467648085</v>
      </c>
      <c r="L177" s="625">
        <f t="shared" ref="L177:L180" si="55">L176</f>
        <v>0.1071</v>
      </c>
      <c r="M177" s="558">
        <f t="shared" si="53"/>
        <v>0.49090457251500325</v>
      </c>
      <c r="N177" s="394">
        <f t="shared" si="54"/>
        <v>472120.53487724805</v>
      </c>
      <c r="P177" s="875"/>
      <c r="R177" s="78"/>
      <c r="S177" s="78"/>
    </row>
    <row r="178" spans="1:19">
      <c r="A178" s="1112">
        <f t="shared" si="42"/>
        <v>164</v>
      </c>
      <c r="B178" s="685">
        <v>39100</v>
      </c>
      <c r="C178" s="115" t="s">
        <v>796</v>
      </c>
      <c r="D178" s="448">
        <f>[3]Reserve!$Q10</f>
        <v>6206960.0491403043</v>
      </c>
      <c r="E178" s="815">
        <v>0</v>
      </c>
      <c r="F178" s="581">
        <f t="shared" si="50"/>
        <v>6206960.0491403043</v>
      </c>
      <c r="G178" s="625">
        <f>$G$175</f>
        <v>0.1071</v>
      </c>
      <c r="H178" s="625">
        <f>$H$175</f>
        <v>0.49090457251500325</v>
      </c>
      <c r="I178" s="581">
        <f t="shared" si="51"/>
        <v>326336.38494783308</v>
      </c>
      <c r="J178" s="106"/>
      <c r="K178" s="448">
        <f>[3]Reserve!$C10</f>
        <v>6021582.9994958853</v>
      </c>
      <c r="L178" s="625">
        <f t="shared" si="55"/>
        <v>0.1071</v>
      </c>
      <c r="M178" s="558">
        <f t="shared" si="53"/>
        <v>0.49090457251500325</v>
      </c>
      <c r="N178" s="394">
        <f t="shared" si="54"/>
        <v>316590.02348355495</v>
      </c>
      <c r="P178" s="875"/>
      <c r="R178" s="78"/>
      <c r="S178" s="78"/>
    </row>
    <row r="179" spans="1:19">
      <c r="A179" s="1112">
        <f t="shared" si="42"/>
        <v>165</v>
      </c>
      <c r="B179" s="685">
        <v>39102</v>
      </c>
      <c r="C179" s="115" t="s">
        <v>542</v>
      </c>
      <c r="D179" s="448">
        <f>[3]Reserve!$Q11</f>
        <v>5859.7</v>
      </c>
      <c r="E179" s="815">
        <v>0</v>
      </c>
      <c r="F179" s="581">
        <f t="shared" si="50"/>
        <v>5859.7</v>
      </c>
      <c r="G179" s="625">
        <f>$G$175</f>
        <v>0.1071</v>
      </c>
      <c r="H179" s="625">
        <f>$H$175</f>
        <v>0.49090457251500325</v>
      </c>
      <c r="I179" s="581">
        <f t="shared" si="51"/>
        <v>308.07888237393621</v>
      </c>
      <c r="J179" s="106"/>
      <c r="K179" s="448">
        <f>[3]Reserve!$C11</f>
        <v>5859.699999999998</v>
      </c>
      <c r="L179" s="625">
        <f t="shared" si="55"/>
        <v>0.1071</v>
      </c>
      <c r="M179" s="558">
        <f t="shared" si="53"/>
        <v>0.49090457251500325</v>
      </c>
      <c r="N179" s="394">
        <f t="shared" si="54"/>
        <v>308.07888237393615</v>
      </c>
      <c r="P179" s="875"/>
      <c r="R179" s="78"/>
      <c r="S179" s="78"/>
    </row>
    <row r="180" spans="1:19">
      <c r="A180" s="1112">
        <f t="shared" si="42"/>
        <v>166</v>
      </c>
      <c r="B180" s="686">
        <v>39103</v>
      </c>
      <c r="C180" s="115" t="s">
        <v>797</v>
      </c>
      <c r="D180" s="448">
        <f>[3]Reserve!$Q12</f>
        <v>2888.48</v>
      </c>
      <c r="E180" s="815">
        <v>0</v>
      </c>
      <c r="F180" s="581">
        <f t="shared" si="50"/>
        <v>2888.48</v>
      </c>
      <c r="G180" s="625">
        <f>$G$175</f>
        <v>0.1071</v>
      </c>
      <c r="H180" s="625">
        <f>$H$175</f>
        <v>0.49090457251500325</v>
      </c>
      <c r="I180" s="581">
        <f t="shared" si="51"/>
        <v>151.86437704310242</v>
      </c>
      <c r="J180" s="106"/>
      <c r="K180" s="448">
        <f>[3]Reserve!$C12</f>
        <v>2888.4800000000005</v>
      </c>
      <c r="L180" s="625">
        <f t="shared" si="55"/>
        <v>0.1071</v>
      </c>
      <c r="M180" s="558">
        <f t="shared" si="53"/>
        <v>0.49090457251500325</v>
      </c>
      <c r="N180" s="394">
        <f t="shared" si="54"/>
        <v>151.86437704310245</v>
      </c>
      <c r="P180" s="875"/>
      <c r="R180" s="78"/>
      <c r="S180" s="78"/>
    </row>
    <row r="181" spans="1:19">
      <c r="A181" s="1112">
        <f t="shared" si="42"/>
        <v>167</v>
      </c>
      <c r="B181" s="685">
        <v>39104</v>
      </c>
      <c r="C181" s="106" t="s">
        <v>1218</v>
      </c>
      <c r="D181" s="448">
        <f>[3]Reserve!$Q13</f>
        <v>11207.548127499997</v>
      </c>
      <c r="E181" s="581">
        <v>0</v>
      </c>
      <c r="F181" s="581">
        <f t="shared" ref="F181" si="56">D181+E181</f>
        <v>11207.548127499997</v>
      </c>
      <c r="G181" s="625">
        <v>1</v>
      </c>
      <c r="H181" s="625">
        <f>$H$176</f>
        <v>1.5418259551017742E-2</v>
      </c>
      <c r="I181" s="581">
        <f t="shared" ref="I181" si="57">F181*G181*H181</f>
        <v>172.80088596031783</v>
      </c>
      <c r="J181" s="106"/>
      <c r="K181" s="448">
        <f>[3]Reserve!$C13</f>
        <v>10035.993342019228</v>
      </c>
      <c r="L181" s="625">
        <f t="shared" ref="L181" si="58">L180</f>
        <v>0.1071</v>
      </c>
      <c r="M181" s="558">
        <f t="shared" ref="M181" si="59">H181</f>
        <v>1.5418259551017742E-2</v>
      </c>
      <c r="N181" s="394">
        <f t="shared" ref="N181" si="60">K181*L181*M181</f>
        <v>16.572391626370568</v>
      </c>
      <c r="P181" s="875"/>
      <c r="R181" s="78"/>
      <c r="S181" s="78"/>
    </row>
    <row r="182" spans="1:19">
      <c r="A182" s="1112">
        <f t="shared" si="42"/>
        <v>168</v>
      </c>
      <c r="B182" s="685">
        <v>39200</v>
      </c>
      <c r="C182" s="115" t="s">
        <v>1096</v>
      </c>
      <c r="D182" s="448">
        <f>[3]Reserve!$Q14</f>
        <v>95320.453223999983</v>
      </c>
      <c r="E182" s="815">
        <v>0</v>
      </c>
      <c r="F182" s="581">
        <f t="shared" si="50"/>
        <v>95320.453223999983</v>
      </c>
      <c r="G182" s="625">
        <f t="shared" ref="G182:G199" si="61">$G$175</f>
        <v>0.1071</v>
      </c>
      <c r="H182" s="625">
        <f t="shared" ref="H182:H199" si="62">$H$175</f>
        <v>0.49090457251500325</v>
      </c>
      <c r="I182" s="581">
        <f t="shared" si="51"/>
        <v>5011.5566832136428</v>
      </c>
      <c r="J182" s="106"/>
      <c r="K182" s="448">
        <f>[3]Reserve!$C14</f>
        <v>83629.911637230776</v>
      </c>
      <c r="L182" s="625">
        <f>L180</f>
        <v>0.1071</v>
      </c>
      <c r="M182" s="558">
        <f t="shared" si="53"/>
        <v>0.49090457251500325</v>
      </c>
      <c r="N182" s="394">
        <f t="shared" si="54"/>
        <v>4396.9161749285968</v>
      </c>
      <c r="P182" s="875"/>
      <c r="R182" s="78"/>
      <c r="S182" s="78"/>
    </row>
    <row r="183" spans="1:19">
      <c r="A183" s="1112">
        <f t="shared" si="42"/>
        <v>169</v>
      </c>
      <c r="B183" s="685">
        <v>39300</v>
      </c>
      <c r="C183" s="115" t="s">
        <v>665</v>
      </c>
      <c r="D183" s="448">
        <f>[3]Reserve!$Q15</f>
        <v>757.51</v>
      </c>
      <c r="E183" s="815">
        <v>0</v>
      </c>
      <c r="F183" s="581">
        <f t="shared" si="50"/>
        <v>757.51</v>
      </c>
      <c r="G183" s="625">
        <f t="shared" si="61"/>
        <v>0.1071</v>
      </c>
      <c r="H183" s="625">
        <f t="shared" si="62"/>
        <v>0.49090457251500325</v>
      </c>
      <c r="I183" s="581">
        <f t="shared" si="51"/>
        <v>39.826754643937477</v>
      </c>
      <c r="J183" s="106"/>
      <c r="K183" s="448">
        <f>[3]Reserve!$C15</f>
        <v>757.5100000000001</v>
      </c>
      <c r="L183" s="625">
        <f t="shared" ref="L183:L197" si="63">L181</f>
        <v>0.1071</v>
      </c>
      <c r="M183" s="558">
        <f t="shared" si="53"/>
        <v>0.49090457251500325</v>
      </c>
      <c r="N183" s="394">
        <f t="shared" si="54"/>
        <v>39.826754643937484</v>
      </c>
      <c r="P183" s="875"/>
      <c r="R183" s="78"/>
      <c r="S183" s="78"/>
    </row>
    <row r="184" spans="1:19">
      <c r="A184" s="1112">
        <f t="shared" si="42"/>
        <v>170</v>
      </c>
      <c r="B184" s="685">
        <v>39400</v>
      </c>
      <c r="C184" s="115" t="s">
        <v>1055</v>
      </c>
      <c r="D184" s="448">
        <f>[3]Reserve!$Q16</f>
        <v>137626.62705636688</v>
      </c>
      <c r="E184" s="815">
        <v>0</v>
      </c>
      <c r="F184" s="581">
        <f t="shared" si="50"/>
        <v>137626.62705636688</v>
      </c>
      <c r="G184" s="625">
        <f t="shared" si="61"/>
        <v>0.1071</v>
      </c>
      <c r="H184" s="625">
        <f t="shared" si="62"/>
        <v>0.49090457251500325</v>
      </c>
      <c r="I184" s="581">
        <f t="shared" si="51"/>
        <v>7235.8409898834479</v>
      </c>
      <c r="J184" s="106"/>
      <c r="K184" s="448">
        <f>[3]Reserve!$C16</f>
        <v>105346.66839951764</v>
      </c>
      <c r="L184" s="625">
        <f t="shared" si="63"/>
        <v>0.1071</v>
      </c>
      <c r="M184" s="558">
        <f t="shared" si="53"/>
        <v>0.49090457251500325</v>
      </c>
      <c r="N184" s="394">
        <f t="shared" si="54"/>
        <v>5538.69376629197</v>
      </c>
      <c r="P184" s="875"/>
      <c r="R184" s="78"/>
      <c r="S184" s="78"/>
    </row>
    <row r="185" spans="1:19">
      <c r="A185" s="1112">
        <f t="shared" si="42"/>
        <v>171</v>
      </c>
      <c r="B185" s="685">
        <v>39500</v>
      </c>
      <c r="C185" s="115" t="s">
        <v>1219</v>
      </c>
      <c r="D185" s="448">
        <f>[3]Reserve!$Q17</f>
        <v>9252.3035</v>
      </c>
      <c r="E185" s="581">
        <v>0</v>
      </c>
      <c r="F185" s="581">
        <f t="shared" ref="F185" si="64">D185+E185</f>
        <v>9252.3035</v>
      </c>
      <c r="G185" s="625">
        <f t="shared" si="61"/>
        <v>0.1071</v>
      </c>
      <c r="H185" s="625">
        <f t="shared" si="62"/>
        <v>0.49090457251500325</v>
      </c>
      <c r="I185" s="581">
        <f t="shared" ref="I185" si="65">F185*G185*H185</f>
        <v>486.44799591522747</v>
      </c>
      <c r="J185" s="106"/>
      <c r="K185" s="448">
        <f>[3]Reserve!$C17</f>
        <v>8066.9101730769225</v>
      </c>
      <c r="L185" s="625">
        <f t="shared" si="63"/>
        <v>0.1071</v>
      </c>
      <c r="M185" s="558">
        <f t="shared" ref="M185" si="66">H185</f>
        <v>0.49090457251500325</v>
      </c>
      <c r="N185" s="394">
        <f t="shared" ref="N185" si="67">K185*L185*M185</f>
        <v>424.12489894234767</v>
      </c>
      <c r="P185" s="875"/>
      <c r="R185" s="78"/>
      <c r="S185" s="78"/>
    </row>
    <row r="186" spans="1:19">
      <c r="A186" s="1112">
        <f t="shared" si="42"/>
        <v>172</v>
      </c>
      <c r="B186" s="468">
        <v>39700</v>
      </c>
      <c r="C186" s="4" t="s">
        <v>454</v>
      </c>
      <c r="D186" s="448">
        <f>[3]Reserve!$Q18</f>
        <v>1321634.2949413599</v>
      </c>
      <c r="E186" s="815">
        <v>0</v>
      </c>
      <c r="F186" s="581">
        <f t="shared" si="50"/>
        <v>1321634.2949413599</v>
      </c>
      <c r="G186" s="625">
        <f t="shared" si="61"/>
        <v>0.1071</v>
      </c>
      <c r="H186" s="625">
        <f t="shared" si="62"/>
        <v>0.49090457251500325</v>
      </c>
      <c r="I186" s="581">
        <f t="shared" si="51"/>
        <v>69486.085719849027</v>
      </c>
      <c r="J186" s="106"/>
      <c r="K186" s="448">
        <f>[3]Reserve!$C18</f>
        <v>1265165.259716209</v>
      </c>
      <c r="L186" s="625">
        <f t="shared" si="63"/>
        <v>0.1071</v>
      </c>
      <c r="M186" s="558">
        <f t="shared" si="53"/>
        <v>0.49090457251500325</v>
      </c>
      <c r="N186" s="394">
        <f t="shared" si="54"/>
        <v>66517.176516152773</v>
      </c>
      <c r="P186" s="875"/>
      <c r="R186" s="78"/>
      <c r="S186" s="78"/>
    </row>
    <row r="187" spans="1:19">
      <c r="A187" s="1112">
        <f t="shared" si="42"/>
        <v>173</v>
      </c>
      <c r="B187" s="468">
        <v>39800</v>
      </c>
      <c r="C187" s="4" t="s">
        <v>666</v>
      </c>
      <c r="D187" s="448">
        <f>[3]Reserve!$Q19</f>
        <v>123789.86367595215</v>
      </c>
      <c r="E187" s="815">
        <v>0</v>
      </c>
      <c r="F187" s="581">
        <f t="shared" si="50"/>
        <v>123789.86367595215</v>
      </c>
      <c r="G187" s="625">
        <f t="shared" si="61"/>
        <v>0.1071</v>
      </c>
      <c r="H187" s="625">
        <f t="shared" si="62"/>
        <v>0.49090457251500325</v>
      </c>
      <c r="I187" s="581">
        <f t="shared" si="51"/>
        <v>6508.360982731072</v>
      </c>
      <c r="J187" s="106"/>
      <c r="K187" s="448">
        <f>[3]Reserve!$C19</f>
        <v>118802.21328918682</v>
      </c>
      <c r="L187" s="625">
        <f t="shared" si="63"/>
        <v>0.1071</v>
      </c>
      <c r="M187" s="558">
        <f t="shared" si="53"/>
        <v>0.49090457251500325</v>
      </c>
      <c r="N187" s="394">
        <f t="shared" si="54"/>
        <v>6246.1308759292569</v>
      </c>
      <c r="P187" s="875"/>
      <c r="R187" s="78"/>
      <c r="S187" s="78"/>
    </row>
    <row r="188" spans="1:19">
      <c r="A188" s="1112">
        <f t="shared" si="42"/>
        <v>174</v>
      </c>
      <c r="B188" s="468">
        <v>39900</v>
      </c>
      <c r="C188" s="4" t="s">
        <v>1173</v>
      </c>
      <c r="D188" s="448">
        <f>[3]Reserve!$Q20</f>
        <v>122835.05835999997</v>
      </c>
      <c r="E188" s="815">
        <v>0</v>
      </c>
      <c r="F188" s="581">
        <f t="shared" si="50"/>
        <v>122835.05835999997</v>
      </c>
      <c r="G188" s="625">
        <f t="shared" si="61"/>
        <v>0.1071</v>
      </c>
      <c r="H188" s="625">
        <f t="shared" si="62"/>
        <v>0.49090457251500325</v>
      </c>
      <c r="I188" s="581">
        <f t="shared" si="51"/>
        <v>6458.1612532870322</v>
      </c>
      <c r="J188" s="106"/>
      <c r="K188" s="448">
        <f>[3]Reserve!$C20</f>
        <v>111493.98609692302</v>
      </c>
      <c r="L188" s="625">
        <f t="shared" si="63"/>
        <v>0.1071</v>
      </c>
      <c r="M188" s="558">
        <f t="shared" si="53"/>
        <v>0.49090457251500325</v>
      </c>
      <c r="N188" s="394">
        <f t="shared" si="54"/>
        <v>5861.8944021289872</v>
      </c>
      <c r="P188" s="875"/>
      <c r="R188" s="78"/>
      <c r="S188" s="78"/>
    </row>
    <row r="189" spans="1:19">
      <c r="A189" s="1112">
        <f t="shared" si="42"/>
        <v>175</v>
      </c>
      <c r="B189" s="468">
        <v>39901</v>
      </c>
      <c r="C189" s="4" t="s">
        <v>489</v>
      </c>
      <c r="D189" s="448">
        <f>[3]Reserve!$Q21</f>
        <v>6745069.471922474</v>
      </c>
      <c r="E189" s="815">
        <v>0</v>
      </c>
      <c r="F189" s="581">
        <f t="shared" si="50"/>
        <v>6745069.471922474</v>
      </c>
      <c r="G189" s="625">
        <f t="shared" si="61"/>
        <v>0.1071</v>
      </c>
      <c r="H189" s="625">
        <f t="shared" si="62"/>
        <v>0.49090457251500325</v>
      </c>
      <c r="I189" s="581">
        <f t="shared" si="51"/>
        <v>354627.96123426658</v>
      </c>
      <c r="J189" s="106"/>
      <c r="K189" s="448">
        <f>[3]Reserve!$C21</f>
        <v>8741513.6317943707</v>
      </c>
      <c r="L189" s="625">
        <f t="shared" si="63"/>
        <v>0.1071</v>
      </c>
      <c r="M189" s="558">
        <f t="shared" si="53"/>
        <v>0.49090457251500325</v>
      </c>
      <c r="N189" s="394">
        <f t="shared" si="54"/>
        <v>459592.76924411458</v>
      </c>
      <c r="P189" s="875"/>
      <c r="R189" s="78"/>
      <c r="S189" s="78"/>
    </row>
    <row r="190" spans="1:19">
      <c r="A190" s="1112">
        <f t="shared" si="42"/>
        <v>176</v>
      </c>
      <c r="B190" s="468">
        <v>39902</v>
      </c>
      <c r="C190" s="4" t="s">
        <v>979</v>
      </c>
      <c r="D190" s="448">
        <f>[3]Reserve!$Q22</f>
        <v>7872023.118954028</v>
      </c>
      <c r="E190" s="815">
        <v>0</v>
      </c>
      <c r="F190" s="581">
        <f t="shared" si="50"/>
        <v>7872023.118954028</v>
      </c>
      <c r="G190" s="625">
        <f t="shared" si="61"/>
        <v>0.1071</v>
      </c>
      <c r="H190" s="625">
        <f t="shared" si="62"/>
        <v>0.49090457251500325</v>
      </c>
      <c r="I190" s="581">
        <f t="shared" si="51"/>
        <v>413878.54062650725</v>
      </c>
      <c r="J190" s="106"/>
      <c r="K190" s="448">
        <f>[3]Reserve!$C22</f>
        <v>7204115.7589233164</v>
      </c>
      <c r="L190" s="625">
        <f t="shared" si="63"/>
        <v>0.1071</v>
      </c>
      <c r="M190" s="558">
        <f t="shared" si="53"/>
        <v>0.49090457251500325</v>
      </c>
      <c r="N190" s="394">
        <f t="shared" si="54"/>
        <v>378762.72360386315</v>
      </c>
      <c r="P190" s="875"/>
      <c r="R190" s="78"/>
      <c r="S190" s="78"/>
    </row>
    <row r="191" spans="1:19">
      <c r="A191" s="1112">
        <f t="shared" si="42"/>
        <v>177</v>
      </c>
      <c r="B191" s="468">
        <v>39903</v>
      </c>
      <c r="C191" s="4" t="s">
        <v>1022</v>
      </c>
      <c r="D191" s="448">
        <f>[3]Reserve!$Q23</f>
        <v>1297282.965919045</v>
      </c>
      <c r="E191" s="815">
        <v>0</v>
      </c>
      <c r="F191" s="581">
        <f t="shared" si="50"/>
        <v>1297282.965919045</v>
      </c>
      <c r="G191" s="625">
        <f t="shared" si="61"/>
        <v>0.1071</v>
      </c>
      <c r="H191" s="625">
        <f t="shared" si="62"/>
        <v>0.49090457251500325</v>
      </c>
      <c r="I191" s="581">
        <f t="shared" si="51"/>
        <v>68205.793174238366</v>
      </c>
      <c r="J191" s="106"/>
      <c r="K191" s="448">
        <f>[3]Reserve!$C23</f>
        <v>1156709.8431506916</v>
      </c>
      <c r="L191" s="625">
        <f t="shared" si="63"/>
        <v>0.1071</v>
      </c>
      <c r="M191" s="558">
        <f t="shared" si="53"/>
        <v>0.49090457251500325</v>
      </c>
      <c r="N191" s="394">
        <f t="shared" si="54"/>
        <v>60815.037580216762</v>
      </c>
      <c r="P191" s="875"/>
      <c r="R191" s="78"/>
      <c r="S191" s="78"/>
    </row>
    <row r="192" spans="1:19">
      <c r="A192" s="1112">
        <f t="shared" si="42"/>
        <v>178</v>
      </c>
      <c r="B192" s="468">
        <v>39904</v>
      </c>
      <c r="C192" s="4" t="s">
        <v>1198</v>
      </c>
      <c r="D192" s="448">
        <f>[3]Reserve!$Q24</f>
        <v>17152.41</v>
      </c>
      <c r="E192" s="815">
        <v>0</v>
      </c>
      <c r="F192" s="581">
        <f t="shared" si="50"/>
        <v>17152.41</v>
      </c>
      <c r="G192" s="625">
        <f t="shared" si="61"/>
        <v>0.1071</v>
      </c>
      <c r="H192" s="625">
        <f t="shared" si="62"/>
        <v>0.49090457251500325</v>
      </c>
      <c r="I192" s="581">
        <f t="shared" si="51"/>
        <v>901.80304500563636</v>
      </c>
      <c r="J192" s="106"/>
      <c r="K192" s="448">
        <f>[3]Reserve!$C24</f>
        <v>17152.41</v>
      </c>
      <c r="L192" s="625">
        <f t="shared" si="63"/>
        <v>0.1071</v>
      </c>
      <c r="M192" s="558">
        <f t="shared" si="53"/>
        <v>0.49090457251500325</v>
      </c>
      <c r="N192" s="394">
        <f t="shared" si="54"/>
        <v>901.80304500563636</v>
      </c>
      <c r="P192" s="875"/>
      <c r="R192" s="78"/>
      <c r="S192" s="78"/>
    </row>
    <row r="193" spans="1:19">
      <c r="A193" s="1112">
        <f t="shared" si="42"/>
        <v>179</v>
      </c>
      <c r="B193" s="468">
        <v>39905</v>
      </c>
      <c r="C193" s="4" t="s">
        <v>512</v>
      </c>
      <c r="D193" s="448">
        <f>[3]Reserve!$Q25</f>
        <v>15409.52</v>
      </c>
      <c r="E193" s="815">
        <v>0</v>
      </c>
      <c r="F193" s="581">
        <f t="shared" si="50"/>
        <v>15409.52</v>
      </c>
      <c r="G193" s="625">
        <f t="shared" si="61"/>
        <v>0.1071</v>
      </c>
      <c r="H193" s="625">
        <f t="shared" si="62"/>
        <v>0.49090457251500325</v>
      </c>
      <c r="I193" s="581">
        <f t="shared" si="51"/>
        <v>810.16907000679521</v>
      </c>
      <c r="J193" s="106"/>
      <c r="K193" s="448">
        <f>[3]Reserve!$C25</f>
        <v>15409.519999999999</v>
      </c>
      <c r="L193" s="625">
        <f t="shared" si="63"/>
        <v>0.1071</v>
      </c>
      <c r="M193" s="558">
        <f t="shared" si="53"/>
        <v>0.49090457251500325</v>
      </c>
      <c r="N193" s="394">
        <f t="shared" si="54"/>
        <v>810.1690700067951</v>
      </c>
      <c r="P193" s="875"/>
      <c r="R193" s="78"/>
      <c r="S193" s="78"/>
    </row>
    <row r="194" spans="1:19">
      <c r="A194" s="1112">
        <f t="shared" si="42"/>
        <v>180</v>
      </c>
      <c r="B194" s="468">
        <v>39906</v>
      </c>
      <c r="C194" s="4" t="s">
        <v>465</v>
      </c>
      <c r="D194" s="448">
        <f>[3]Reserve!$Q26</f>
        <v>1334419.4526767768</v>
      </c>
      <c r="E194" s="815">
        <v>0</v>
      </c>
      <c r="F194" s="581">
        <f t="shared" si="50"/>
        <v>1334419.4526767768</v>
      </c>
      <c r="G194" s="625">
        <f t="shared" si="61"/>
        <v>0.1071</v>
      </c>
      <c r="H194" s="625">
        <f t="shared" si="62"/>
        <v>0.49090457251500325</v>
      </c>
      <c r="I194" s="581">
        <f t="shared" si="51"/>
        <v>70158.276635100963</v>
      </c>
      <c r="J194" s="106"/>
      <c r="K194" s="448">
        <f>[3]Reserve!$C26</f>
        <v>1620485.9431288985</v>
      </c>
      <c r="L194" s="625">
        <f t="shared" si="63"/>
        <v>0.1071</v>
      </c>
      <c r="M194" s="558">
        <f t="shared" si="53"/>
        <v>0.49090457251500325</v>
      </c>
      <c r="N194" s="394">
        <f t="shared" si="54"/>
        <v>85198.474027992052</v>
      </c>
      <c r="P194" s="875"/>
      <c r="R194" s="78"/>
      <c r="S194" s="78"/>
    </row>
    <row r="195" spans="1:19">
      <c r="A195" s="1112">
        <f t="shared" si="42"/>
        <v>181</v>
      </c>
      <c r="B195" s="468">
        <v>39907</v>
      </c>
      <c r="C195" s="4" t="s">
        <v>520</v>
      </c>
      <c r="D195" s="448">
        <f>[3]Reserve!$Q27</f>
        <v>530950.27510041348</v>
      </c>
      <c r="E195" s="815">
        <v>0</v>
      </c>
      <c r="F195" s="581">
        <f t="shared" si="50"/>
        <v>530950.27510041348</v>
      </c>
      <c r="G195" s="625">
        <f t="shared" si="61"/>
        <v>0.1071</v>
      </c>
      <c r="H195" s="625">
        <f t="shared" si="62"/>
        <v>0.49090457251500325</v>
      </c>
      <c r="I195" s="581">
        <f t="shared" si="51"/>
        <v>27915.177799045916</v>
      </c>
      <c r="J195" s="106"/>
      <c r="K195" s="448">
        <f>[3]Reserve!$C27</f>
        <v>633630.70261512394</v>
      </c>
      <c r="L195" s="625">
        <f t="shared" si="63"/>
        <v>0.1071</v>
      </c>
      <c r="M195" s="558">
        <f t="shared" si="53"/>
        <v>0.49090457251500325</v>
      </c>
      <c r="N195" s="394">
        <f t="shared" si="54"/>
        <v>33313.691605283428</v>
      </c>
      <c r="P195" s="875"/>
      <c r="R195" s="78"/>
      <c r="S195" s="78"/>
    </row>
    <row r="196" spans="1:19">
      <c r="A196" s="1112">
        <f t="shared" si="42"/>
        <v>182</v>
      </c>
      <c r="B196" s="468">
        <v>39908</v>
      </c>
      <c r="C196" s="4" t="s">
        <v>184</v>
      </c>
      <c r="D196" s="448">
        <f>[3]Reserve!$Q28</f>
        <v>80961799.254895419</v>
      </c>
      <c r="E196" s="815">
        <v>0</v>
      </c>
      <c r="F196" s="581">
        <f t="shared" si="50"/>
        <v>80961799.254895419</v>
      </c>
      <c r="G196" s="625">
        <f t="shared" si="61"/>
        <v>0.1071</v>
      </c>
      <c r="H196" s="625">
        <f t="shared" si="62"/>
        <v>0.49090457251500325</v>
      </c>
      <c r="I196" s="581">
        <f t="shared" si="51"/>
        <v>4256637.8192452108</v>
      </c>
      <c r="J196" s="106"/>
      <c r="K196" s="448">
        <f>[3]Reserve!$C28</f>
        <v>77561732.141543582</v>
      </c>
      <c r="L196" s="625">
        <f t="shared" si="63"/>
        <v>0.1071</v>
      </c>
      <c r="M196" s="558">
        <f t="shared" si="53"/>
        <v>0.49090457251500325</v>
      </c>
      <c r="N196" s="394">
        <f t="shared" si="54"/>
        <v>4077876.2996660839</v>
      </c>
      <c r="P196" s="875"/>
      <c r="R196" s="78"/>
      <c r="S196" s="78"/>
    </row>
    <row r="197" spans="1:19">
      <c r="A197" s="1112">
        <f t="shared" si="42"/>
        <v>183</v>
      </c>
      <c r="B197" s="468">
        <v>39909</v>
      </c>
      <c r="C197" s="4" t="s">
        <v>352</v>
      </c>
      <c r="D197" s="448">
        <f>[3]Reserve!$Q29</f>
        <v>1098665.8199999996</v>
      </c>
      <c r="E197" s="815">
        <v>0</v>
      </c>
      <c r="F197" s="581">
        <f t="shared" si="50"/>
        <v>1098665.8199999996</v>
      </c>
      <c r="G197" s="625">
        <f t="shared" si="61"/>
        <v>0.1071</v>
      </c>
      <c r="H197" s="625">
        <f t="shared" si="62"/>
        <v>0.49090457251500325</v>
      </c>
      <c r="I197" s="581">
        <f t="shared" si="51"/>
        <v>57763.322000792541</v>
      </c>
      <c r="J197" s="106"/>
      <c r="K197" s="448">
        <f>[3]Reserve!$C29</f>
        <v>1109180.6015384616</v>
      </c>
      <c r="L197" s="625">
        <f t="shared" si="63"/>
        <v>0.1071</v>
      </c>
      <c r="M197" s="558">
        <f t="shared" si="53"/>
        <v>0.49090457251500325</v>
      </c>
      <c r="N197" s="394">
        <f t="shared" si="54"/>
        <v>58316.14589020249</v>
      </c>
      <c r="P197" s="875"/>
      <c r="R197" s="78"/>
      <c r="S197" s="78"/>
    </row>
    <row r="198" spans="1:19">
      <c r="A198" s="1112">
        <f t="shared" si="42"/>
        <v>184</v>
      </c>
      <c r="B198" s="1061">
        <v>39924</v>
      </c>
      <c r="C198" s="4" t="s">
        <v>1456</v>
      </c>
      <c r="D198" s="448">
        <f>[3]Reserve!$Q30</f>
        <v>0</v>
      </c>
      <c r="E198" s="815"/>
      <c r="F198" s="581"/>
      <c r="G198" s="625"/>
      <c r="H198" s="625"/>
      <c r="I198" s="581"/>
      <c r="J198" s="106"/>
      <c r="K198" s="448">
        <f>[3]Reserve!$C30</f>
        <v>6.1538461538461538E-3</v>
      </c>
      <c r="L198" s="625"/>
      <c r="M198" s="558"/>
      <c r="N198" s="394"/>
      <c r="P198" s="875"/>
      <c r="R198" s="78"/>
      <c r="S198" s="78"/>
    </row>
    <row r="199" spans="1:19">
      <c r="A199" s="1112">
        <f t="shared" si="42"/>
        <v>185</v>
      </c>
      <c r="B199" s="468"/>
      <c r="C199" s="4" t="s">
        <v>1164</v>
      </c>
      <c r="D199" s="448">
        <f>[3]Reserve!$Q31</f>
        <v>0</v>
      </c>
      <c r="E199" s="1146">
        <v>0</v>
      </c>
      <c r="F199" s="496">
        <f t="shared" si="50"/>
        <v>0</v>
      </c>
      <c r="G199" s="625">
        <f t="shared" si="61"/>
        <v>0.1071</v>
      </c>
      <c r="H199" s="625">
        <f t="shared" si="62"/>
        <v>0.49090457251500325</v>
      </c>
      <c r="I199" s="1144">
        <f t="shared" si="51"/>
        <v>0</v>
      </c>
      <c r="J199" s="106"/>
      <c r="K199" s="448">
        <f>[3]Reserve!$C31</f>
        <v>-0.71230769230769231</v>
      </c>
      <c r="L199" s="625">
        <f>L197</f>
        <v>0.1071</v>
      </c>
      <c r="M199" s="557">
        <f t="shared" si="53"/>
        <v>0.49090457251500325</v>
      </c>
      <c r="N199" s="395">
        <f t="shared" si="54"/>
        <v>-3.7450203551804957E-2</v>
      </c>
      <c r="P199" s="875"/>
      <c r="R199" s="78"/>
      <c r="S199" s="78"/>
    </row>
    <row r="200" spans="1:19">
      <c r="A200" s="1112">
        <f t="shared" si="42"/>
        <v>186</v>
      </c>
      <c r="B200" s="510"/>
      <c r="C200" s="4"/>
      <c r="D200" s="812"/>
      <c r="E200" s="812"/>
      <c r="F200" s="812"/>
      <c r="G200" s="1131"/>
      <c r="H200" s="1131"/>
      <c r="I200" s="106"/>
      <c r="J200" s="106"/>
      <c r="K200" s="106"/>
      <c r="L200" s="241"/>
    </row>
    <row r="201" spans="1:19" ht="15.75" thickBot="1">
      <c r="A201" s="1112">
        <f t="shared" si="42"/>
        <v>187</v>
      </c>
      <c r="B201" s="510"/>
      <c r="C201" s="247" t="s">
        <v>1369</v>
      </c>
      <c r="D201" s="626">
        <f>SUM(D175:D199)</f>
        <v>121390317.32203481</v>
      </c>
      <c r="E201" s="626">
        <f>SUM(E175:E199)</f>
        <v>0</v>
      </c>
      <c r="F201" s="626">
        <f>SUM(F175:F199)</f>
        <v>121390317.32203481</v>
      </c>
      <c r="G201" s="1131"/>
      <c r="H201" s="1131"/>
      <c r="I201" s="626">
        <f>SUM(I175:I199)</f>
        <v>6230715.6322487267</v>
      </c>
      <c r="J201" s="106"/>
      <c r="K201" s="626">
        <f>SUM(K175:K199)</f>
        <v>118886427.9162121</v>
      </c>
      <c r="L201" s="241"/>
      <c r="N201" s="626">
        <f>SUM(N175:N199)</f>
        <v>6053405.3084992077</v>
      </c>
      <c r="P201" s="1058"/>
      <c r="Q201" s="1058"/>
    </row>
    <row r="202" spans="1:19" ht="15.75" thickTop="1">
      <c r="A202" s="1112">
        <f t="shared" si="42"/>
        <v>188</v>
      </c>
      <c r="B202" s="406"/>
      <c r="D202" s="581"/>
      <c r="E202" s="106"/>
      <c r="F202" s="106"/>
      <c r="G202" s="1131"/>
      <c r="H202" s="1131"/>
      <c r="I202" s="106"/>
      <c r="J202" s="106"/>
      <c r="K202" s="106"/>
      <c r="L202" s="241"/>
    </row>
    <row r="203" spans="1:19" ht="15.75">
      <c r="A203" s="1112">
        <f t="shared" si="42"/>
        <v>189</v>
      </c>
      <c r="B203" s="419" t="s">
        <v>9</v>
      </c>
      <c r="D203" s="581"/>
      <c r="E203" s="106"/>
      <c r="F203" s="106"/>
      <c r="G203" s="1131"/>
      <c r="H203" s="1131"/>
      <c r="I203" s="106"/>
      <c r="J203" s="106"/>
      <c r="K203" s="106"/>
      <c r="L203" s="241"/>
    </row>
    <row r="204" spans="1:19">
      <c r="A204" s="1112">
        <f t="shared" si="42"/>
        <v>190</v>
      </c>
      <c r="B204" s="406"/>
      <c r="D204" s="581"/>
      <c r="E204" s="106"/>
      <c r="F204" s="106"/>
      <c r="G204" s="1131"/>
      <c r="H204" s="1131"/>
      <c r="I204" s="106"/>
      <c r="J204" s="106"/>
      <c r="K204" s="106"/>
      <c r="L204" s="241"/>
    </row>
    <row r="205" spans="1:19">
      <c r="A205" s="1112">
        <f t="shared" si="42"/>
        <v>191</v>
      </c>
      <c r="B205" s="510"/>
      <c r="C205" s="813" t="s">
        <v>309</v>
      </c>
      <c r="D205" s="581"/>
      <c r="E205" s="106"/>
      <c r="F205" s="106"/>
      <c r="G205" s="1131"/>
      <c r="H205" s="1131"/>
      <c r="I205" s="106"/>
      <c r="J205" s="106"/>
      <c r="K205" s="106"/>
      <c r="L205" s="241"/>
    </row>
    <row r="206" spans="1:19">
      <c r="A206" s="1112">
        <f t="shared" si="42"/>
        <v>192</v>
      </c>
      <c r="B206" s="685">
        <v>38900</v>
      </c>
      <c r="C206" s="115" t="s">
        <v>300</v>
      </c>
      <c r="D206" s="448">
        <f>[3]Reserve!$Q36</f>
        <v>0</v>
      </c>
      <c r="E206" s="448">
        <v>0</v>
      </c>
      <c r="F206" s="448">
        <f t="shared" ref="F206:F226" si="68">D206+E206</f>
        <v>0</v>
      </c>
      <c r="G206" s="625">
        <f>Allocation!$G$15</f>
        <v>0.1086</v>
      </c>
      <c r="H206" s="625">
        <f>Allocation!$H$15</f>
        <v>0.52599015110063552</v>
      </c>
      <c r="I206" s="448">
        <f t="shared" ref="I206:I226" si="69">F206*G206*H206</f>
        <v>0</v>
      </c>
      <c r="J206" s="106"/>
      <c r="K206" s="448">
        <f>[3]Reserve!$C36</f>
        <v>0</v>
      </c>
      <c r="L206" s="625">
        <f t="shared" ref="L206:L226" si="70">G206</f>
        <v>0.1086</v>
      </c>
      <c r="M206" s="558">
        <f t="shared" ref="M206:M226" si="71">H206</f>
        <v>0.52599015110063552</v>
      </c>
      <c r="N206" s="385">
        <f t="shared" ref="N206:N226" si="72">K206*L206*M206</f>
        <v>0</v>
      </c>
      <c r="P206" s="875"/>
      <c r="R206" s="78"/>
      <c r="S206" s="78"/>
    </row>
    <row r="207" spans="1:19">
      <c r="A207" s="1112">
        <f t="shared" si="42"/>
        <v>193</v>
      </c>
      <c r="B207" s="685">
        <v>38910</v>
      </c>
      <c r="C207" s="115" t="s">
        <v>1220</v>
      </c>
      <c r="D207" s="448">
        <f>[3]Reserve!$Q37</f>
        <v>0</v>
      </c>
      <c r="E207" s="581">
        <v>0</v>
      </c>
      <c r="F207" s="581">
        <f t="shared" si="68"/>
        <v>0</v>
      </c>
      <c r="G207" s="625">
        <v>1</v>
      </c>
      <c r="H207" s="625">
        <f>Allocation!$I$21</f>
        <v>1.083947E-2</v>
      </c>
      <c r="I207" s="581">
        <f t="shared" si="69"/>
        <v>0</v>
      </c>
      <c r="J207" s="106"/>
      <c r="K207" s="448">
        <f>[3]Reserve!$C37</f>
        <v>0</v>
      </c>
      <c r="L207" s="625">
        <f t="shared" si="70"/>
        <v>1</v>
      </c>
      <c r="M207" s="558">
        <f t="shared" si="71"/>
        <v>1.083947E-2</v>
      </c>
      <c r="N207" s="394">
        <f t="shared" si="72"/>
        <v>0</v>
      </c>
      <c r="P207" s="875"/>
      <c r="R207" s="78"/>
      <c r="S207" s="78"/>
    </row>
    <row r="208" spans="1:19">
      <c r="A208" s="1112">
        <f t="shared" si="42"/>
        <v>194</v>
      </c>
      <c r="B208" s="685">
        <v>39000</v>
      </c>
      <c r="C208" s="115" t="s">
        <v>874</v>
      </c>
      <c r="D208" s="448">
        <f>[3]Reserve!$Q38</f>
        <v>3333416.2322448809</v>
      </c>
      <c r="E208" s="581">
        <v>0</v>
      </c>
      <c r="F208" s="581">
        <f t="shared" si="68"/>
        <v>3333416.2322448809</v>
      </c>
      <c r="G208" s="625">
        <f>$G$206</f>
        <v>0.1086</v>
      </c>
      <c r="H208" s="625">
        <f>$H$206</f>
        <v>0.52599015110063552</v>
      </c>
      <c r="I208" s="581">
        <f t="shared" si="69"/>
        <v>190413.17009402585</v>
      </c>
      <c r="J208" s="106"/>
      <c r="K208" s="448">
        <f>[3]Reserve!$C38</f>
        <v>3122743.4456063802</v>
      </c>
      <c r="L208" s="625">
        <f t="shared" si="70"/>
        <v>0.1086</v>
      </c>
      <c r="M208" s="558">
        <f t="shared" si="71"/>
        <v>0.52599015110063552</v>
      </c>
      <c r="N208" s="394">
        <f t="shared" si="72"/>
        <v>178379.00743280788</v>
      </c>
      <c r="P208" s="875"/>
      <c r="R208" s="78"/>
      <c r="S208" s="78"/>
    </row>
    <row r="209" spans="1:19">
      <c r="A209" s="1112">
        <f t="shared" si="42"/>
        <v>195</v>
      </c>
      <c r="B209" s="685">
        <v>39009</v>
      </c>
      <c r="C209" s="115" t="s">
        <v>1056</v>
      </c>
      <c r="D209" s="448">
        <f>[3]Reserve!$Q39</f>
        <v>3701257.4268990001</v>
      </c>
      <c r="E209" s="581">
        <v>0</v>
      </c>
      <c r="F209" s="581">
        <f t="shared" si="68"/>
        <v>3701257.4268990001</v>
      </c>
      <c r="G209" s="625">
        <f>$G$206</f>
        <v>0.1086</v>
      </c>
      <c r="H209" s="625">
        <f>$H$206</f>
        <v>0.52599015110063552</v>
      </c>
      <c r="I209" s="581">
        <f t="shared" si="69"/>
        <v>211425.18992153328</v>
      </c>
      <c r="J209" s="106"/>
      <c r="K209" s="448">
        <f>[3]Reserve!$C39</f>
        <v>3614586.0891651157</v>
      </c>
      <c r="L209" s="625">
        <f t="shared" si="70"/>
        <v>0.1086</v>
      </c>
      <c r="M209" s="558">
        <f t="shared" si="71"/>
        <v>0.52599015110063552</v>
      </c>
      <c r="N209" s="394">
        <f t="shared" si="72"/>
        <v>206474.30379619487</v>
      </c>
      <c r="P209" s="875"/>
      <c r="R209" s="78"/>
      <c r="S209" s="78"/>
    </row>
    <row r="210" spans="1:19">
      <c r="A210" s="1112">
        <f t="shared" ref="A210:A230" si="73">A209+1</f>
        <v>196</v>
      </c>
      <c r="B210" s="685">
        <v>39010</v>
      </c>
      <c r="C210" s="115" t="s">
        <v>1221</v>
      </c>
      <c r="D210" s="448">
        <f>[3]Reserve!$Q40</f>
        <v>3156390.1220569997</v>
      </c>
      <c r="E210" s="581">
        <v>0</v>
      </c>
      <c r="F210" s="581">
        <f t="shared" ref="F210" si="74">D210+E210</f>
        <v>3156390.1220569997</v>
      </c>
      <c r="G210" s="625">
        <v>1</v>
      </c>
      <c r="H210" s="625">
        <f>$H$207</f>
        <v>1.083947E-2</v>
      </c>
      <c r="I210" s="581">
        <f t="shared" ref="I210" si="75">F210*G210*H210</f>
        <v>34213.596036333191</v>
      </c>
      <c r="J210" s="106"/>
      <c r="K210" s="448">
        <f>[3]Reserve!$C40</f>
        <v>2982588.1793999616</v>
      </c>
      <c r="L210" s="625">
        <f t="shared" ref="L210" si="76">G210</f>
        <v>1</v>
      </c>
      <c r="M210" s="558">
        <f t="shared" ref="M210" si="77">H210</f>
        <v>1.083947E-2</v>
      </c>
      <c r="N210" s="394">
        <f t="shared" ref="N210" si="78">K210*L210*M210</f>
        <v>32329.675092960504</v>
      </c>
      <c r="P210" s="875"/>
      <c r="R210" s="78"/>
      <c r="S210" s="78"/>
    </row>
    <row r="211" spans="1:19">
      <c r="A211" s="1112">
        <f t="shared" si="73"/>
        <v>197</v>
      </c>
      <c r="B211" s="685">
        <v>39100</v>
      </c>
      <c r="C211" s="115" t="s">
        <v>796</v>
      </c>
      <c r="D211" s="448">
        <f>[3]Reserve!$Q41</f>
        <v>377973.40320571238</v>
      </c>
      <c r="E211" s="581">
        <v>0</v>
      </c>
      <c r="F211" s="581">
        <f t="shared" si="68"/>
        <v>377973.40320571238</v>
      </c>
      <c r="G211" s="625">
        <f>$G$206</f>
        <v>0.1086</v>
      </c>
      <c r="H211" s="625">
        <f>$H$206</f>
        <v>0.52599015110063552</v>
      </c>
      <c r="I211" s="581">
        <f t="shared" si="69"/>
        <v>21590.797218611478</v>
      </c>
      <c r="J211" s="106"/>
      <c r="K211" s="448">
        <f>[3]Reserve!$C41</f>
        <v>331357.96869666525</v>
      </c>
      <c r="L211" s="625">
        <f t="shared" si="70"/>
        <v>0.1086</v>
      </c>
      <c r="M211" s="558">
        <f t="shared" si="71"/>
        <v>0.52599015110063552</v>
      </c>
      <c r="N211" s="394">
        <f t="shared" si="72"/>
        <v>18928.005643315028</v>
      </c>
      <c r="P211" s="875"/>
      <c r="R211" s="78"/>
      <c r="S211" s="78"/>
    </row>
    <row r="212" spans="1:19">
      <c r="A212" s="1112">
        <f t="shared" si="73"/>
        <v>198</v>
      </c>
      <c r="B212" s="685">
        <v>39103</v>
      </c>
      <c r="C212" s="115" t="s">
        <v>1367</v>
      </c>
      <c r="D212" s="448">
        <f>[3]Reserve!$Q42</f>
        <v>176.23000000000002</v>
      </c>
      <c r="E212" s="581">
        <v>0</v>
      </c>
      <c r="F212" s="581">
        <f t="shared" ref="F212" si="79">D212+E212</f>
        <v>176.23000000000002</v>
      </c>
      <c r="G212" s="625">
        <f>$G$206</f>
        <v>0.1086</v>
      </c>
      <c r="H212" s="625">
        <f>$H$206</f>
        <v>0.52599015110063552</v>
      </c>
      <c r="I212" s="581">
        <f t="shared" ref="I212" si="80">F212*G212*H212</f>
        <v>10.0667035340713</v>
      </c>
      <c r="J212" s="106"/>
      <c r="K212" s="448">
        <f>[3]Reserve!$C42</f>
        <v>177.2746153846154</v>
      </c>
      <c r="L212" s="625">
        <f t="shared" ref="L212" si="81">G212</f>
        <v>0.1086</v>
      </c>
      <c r="M212" s="558">
        <f t="shared" ref="M212" si="82">H212</f>
        <v>0.52599015110063552</v>
      </c>
      <c r="N212" s="394">
        <f t="shared" ref="N212" si="83">K212*L212*M212</f>
        <v>10.126374608145253</v>
      </c>
      <c r="P212" s="875"/>
      <c r="R212" s="78"/>
      <c r="S212" s="78"/>
    </row>
    <row r="213" spans="1:19">
      <c r="A213" s="1112">
        <f t="shared" si="73"/>
        <v>199</v>
      </c>
      <c r="B213" s="468">
        <v>39700</v>
      </c>
      <c r="C213" s="115" t="s">
        <v>454</v>
      </c>
      <c r="D213" s="448">
        <f>[3]Reserve!$Q43</f>
        <v>-6053083.3907629978</v>
      </c>
      <c r="E213" s="581">
        <v>0</v>
      </c>
      <c r="F213" s="581">
        <f t="shared" si="68"/>
        <v>-6053083.3907629978</v>
      </c>
      <c r="G213" s="625">
        <f>$G$206</f>
        <v>0.1086</v>
      </c>
      <c r="H213" s="625">
        <f>$H$206</f>
        <v>0.52599015110063552</v>
      </c>
      <c r="I213" s="581">
        <f t="shared" si="69"/>
        <v>-345767.44006027433</v>
      </c>
      <c r="J213" s="106"/>
      <c r="K213" s="448">
        <f>[3]Reserve!$C43</f>
        <v>-6107431.6217438839</v>
      </c>
      <c r="L213" s="625">
        <f t="shared" si="70"/>
        <v>0.1086</v>
      </c>
      <c r="M213" s="558">
        <f t="shared" si="71"/>
        <v>0.52599015110063552</v>
      </c>
      <c r="N213" s="394">
        <f t="shared" si="72"/>
        <v>-348871.94853718416</v>
      </c>
      <c r="P213" s="875"/>
      <c r="R213" s="78"/>
      <c r="S213" s="78"/>
    </row>
    <row r="214" spans="1:19">
      <c r="A214" s="1112">
        <f t="shared" si="73"/>
        <v>200</v>
      </c>
      <c r="B214" s="468">
        <v>39710</v>
      </c>
      <c r="C214" s="115" t="s">
        <v>1222</v>
      </c>
      <c r="D214" s="448">
        <f>[3]Reserve!$Q44</f>
        <v>99817.197793999978</v>
      </c>
      <c r="E214" s="581">
        <v>0</v>
      </c>
      <c r="F214" s="581">
        <f t="shared" si="68"/>
        <v>99817.197793999978</v>
      </c>
      <c r="G214" s="625">
        <v>1</v>
      </c>
      <c r="H214" s="625">
        <f>$H$207</f>
        <v>1.083947E-2</v>
      </c>
      <c r="I214" s="581">
        <f t="shared" si="69"/>
        <v>1081.9655209721291</v>
      </c>
      <c r="J214" s="106"/>
      <c r="K214" s="448">
        <f>[3]Reserve!$C44</f>
        <v>92294.379790692285</v>
      </c>
      <c r="L214" s="625">
        <f t="shared" si="70"/>
        <v>1</v>
      </c>
      <c r="M214" s="558">
        <f t="shared" si="71"/>
        <v>1.083947E-2</v>
      </c>
      <c r="N214" s="394">
        <f t="shared" si="72"/>
        <v>1000.4221609098154</v>
      </c>
      <c r="P214" s="875"/>
      <c r="R214" s="78"/>
      <c r="S214" s="78"/>
    </row>
    <row r="215" spans="1:19">
      <c r="A215" s="1112">
        <f t="shared" si="73"/>
        <v>201</v>
      </c>
      <c r="B215" s="468">
        <v>39800</v>
      </c>
      <c r="C215" s="115" t="s">
        <v>666</v>
      </c>
      <c r="D215" s="448">
        <f>[3]Reserve!$Q45</f>
        <v>1745.3314147277765</v>
      </c>
      <c r="E215" s="581">
        <v>0</v>
      </c>
      <c r="F215" s="581">
        <f t="shared" si="68"/>
        <v>1745.3314147277765</v>
      </c>
      <c r="G215" s="625">
        <f t="shared" ref="G215:G222" si="84">$G$206</f>
        <v>0.1086</v>
      </c>
      <c r="H215" s="625">
        <f t="shared" ref="H215:H222" si="85">$H$206</f>
        <v>0.52599015110063552</v>
      </c>
      <c r="I215" s="581">
        <f t="shared" si="69"/>
        <v>99.697746812493719</v>
      </c>
      <c r="J215" s="106"/>
      <c r="K215" s="448">
        <f>[3]Reserve!$C45</f>
        <v>1380.6648678124195</v>
      </c>
      <c r="L215" s="625">
        <f t="shared" si="70"/>
        <v>0.1086</v>
      </c>
      <c r="M215" s="558">
        <f t="shared" si="71"/>
        <v>0.52599015110063552</v>
      </c>
      <c r="N215" s="394">
        <f t="shared" si="72"/>
        <v>78.867070896983307</v>
      </c>
      <c r="P215" s="875"/>
      <c r="R215" s="78"/>
      <c r="S215" s="78"/>
    </row>
    <row r="216" spans="1:19">
      <c r="A216" s="1112">
        <f t="shared" si="73"/>
        <v>202</v>
      </c>
      <c r="B216" s="468">
        <v>39900</v>
      </c>
      <c r="C216" s="115" t="s">
        <v>1173</v>
      </c>
      <c r="D216" s="448">
        <f>[3]Reserve!$Q46</f>
        <v>245634.72903199992</v>
      </c>
      <c r="E216" s="581">
        <v>0</v>
      </c>
      <c r="F216" s="581">
        <f t="shared" si="68"/>
        <v>245634.72903199992</v>
      </c>
      <c r="G216" s="625">
        <f t="shared" si="84"/>
        <v>0.1086</v>
      </c>
      <c r="H216" s="625">
        <f t="shared" si="85"/>
        <v>0.52599015110063552</v>
      </c>
      <c r="I216" s="581">
        <f t="shared" si="69"/>
        <v>14031.277278766835</v>
      </c>
      <c r="J216" s="106"/>
      <c r="K216" s="448">
        <f>[3]Reserve!$C46</f>
        <v>202110.47435476913</v>
      </c>
      <c r="L216" s="625">
        <f t="shared" si="70"/>
        <v>0.1086</v>
      </c>
      <c r="M216" s="558">
        <f t="shared" si="71"/>
        <v>0.52599015110063552</v>
      </c>
      <c r="N216" s="394">
        <f t="shared" si="72"/>
        <v>11545.061717414634</v>
      </c>
      <c r="P216" s="875"/>
      <c r="R216" s="78"/>
      <c r="S216" s="78"/>
    </row>
    <row r="217" spans="1:19">
      <c r="A217" s="1112">
        <f t="shared" si="73"/>
        <v>203</v>
      </c>
      <c r="B217" s="468">
        <v>39901</v>
      </c>
      <c r="C217" s="115" t="s">
        <v>489</v>
      </c>
      <c r="D217" s="448">
        <f>[3]Reserve!$Q47</f>
        <v>3247276.523088837</v>
      </c>
      <c r="E217" s="581">
        <v>0</v>
      </c>
      <c r="F217" s="581">
        <f t="shared" si="68"/>
        <v>3247276.523088837</v>
      </c>
      <c r="G217" s="625">
        <f t="shared" si="84"/>
        <v>0.1086</v>
      </c>
      <c r="H217" s="625">
        <f t="shared" si="85"/>
        <v>0.52599015110063552</v>
      </c>
      <c r="I217" s="581">
        <f t="shared" si="69"/>
        <v>185492.65193829176</v>
      </c>
      <c r="J217" s="106"/>
      <c r="K217" s="448">
        <f>[3]Reserve!$C47</f>
        <v>2900495.5391283119</v>
      </c>
      <c r="L217" s="625">
        <f t="shared" si="70"/>
        <v>0.1086</v>
      </c>
      <c r="M217" s="558">
        <f t="shared" si="71"/>
        <v>0.52599015110063552</v>
      </c>
      <c r="N217" s="394">
        <f t="shared" si="72"/>
        <v>165683.64463656026</v>
      </c>
      <c r="P217" s="875"/>
      <c r="R217" s="78"/>
      <c r="S217" s="78"/>
    </row>
    <row r="218" spans="1:19">
      <c r="A218" s="1112">
        <f t="shared" si="73"/>
        <v>204</v>
      </c>
      <c r="B218" s="468">
        <v>39902</v>
      </c>
      <c r="C218" s="115" t="s">
        <v>979</v>
      </c>
      <c r="D218" s="448">
        <f>[3]Reserve!$Q48</f>
        <v>949412.37050597917</v>
      </c>
      <c r="E218" s="581">
        <v>0</v>
      </c>
      <c r="F218" s="581">
        <f t="shared" si="68"/>
        <v>949412.37050597917</v>
      </c>
      <c r="G218" s="625">
        <f t="shared" si="84"/>
        <v>0.1086</v>
      </c>
      <c r="H218" s="625">
        <f t="shared" si="85"/>
        <v>0.52599015110063552</v>
      </c>
      <c r="I218" s="581">
        <f t="shared" si="69"/>
        <v>54232.837005410831</v>
      </c>
      <c r="J218" s="106"/>
      <c r="K218" s="448">
        <f>[3]Reserve!$C48</f>
        <v>870055.90197105356</v>
      </c>
      <c r="L218" s="625">
        <f t="shared" si="70"/>
        <v>0.1086</v>
      </c>
      <c r="M218" s="558">
        <f t="shared" si="71"/>
        <v>0.52599015110063552</v>
      </c>
      <c r="N218" s="394">
        <f t="shared" si="72"/>
        <v>49699.794718331701</v>
      </c>
      <c r="P218" s="875"/>
      <c r="R218" s="78"/>
      <c r="S218" s="78"/>
    </row>
    <row r="219" spans="1:19">
      <c r="A219" s="1112">
        <f t="shared" si="73"/>
        <v>205</v>
      </c>
      <c r="B219" s="468">
        <v>39903</v>
      </c>
      <c r="C219" s="115" t="s">
        <v>1022</v>
      </c>
      <c r="D219" s="448">
        <f>[3]Reserve!$Q49</f>
        <v>82572.342633080611</v>
      </c>
      <c r="E219" s="581">
        <v>0</v>
      </c>
      <c r="F219" s="581">
        <f t="shared" si="68"/>
        <v>82572.342633080611</v>
      </c>
      <c r="G219" s="625">
        <f t="shared" si="84"/>
        <v>0.1086</v>
      </c>
      <c r="H219" s="625">
        <f t="shared" si="85"/>
        <v>0.52599015110063552</v>
      </c>
      <c r="I219" s="581">
        <f t="shared" si="69"/>
        <v>4716.7411530441959</v>
      </c>
      <c r="J219" s="106"/>
      <c r="K219" s="448">
        <f>[3]Reserve!$C49</f>
        <v>58474.821397195323</v>
      </c>
      <c r="L219" s="625">
        <f t="shared" si="70"/>
        <v>0.1086</v>
      </c>
      <c r="M219" s="558">
        <f t="shared" si="71"/>
        <v>0.52599015110063552</v>
      </c>
      <c r="N219" s="394">
        <f t="shared" si="72"/>
        <v>3340.2297634530678</v>
      </c>
      <c r="P219" s="875"/>
      <c r="R219" s="78"/>
      <c r="S219" s="78"/>
    </row>
    <row r="220" spans="1:19">
      <c r="A220" s="1112">
        <f t="shared" si="73"/>
        <v>206</v>
      </c>
      <c r="B220" s="468">
        <v>39906</v>
      </c>
      <c r="C220" s="115" t="s">
        <v>465</v>
      </c>
      <c r="D220" s="448">
        <f>[3]Reserve!$Q50</f>
        <v>-108920.08236006697</v>
      </c>
      <c r="E220" s="581">
        <v>0</v>
      </c>
      <c r="F220" s="581">
        <f t="shared" si="68"/>
        <v>-108920.08236006697</v>
      </c>
      <c r="G220" s="625">
        <f t="shared" si="84"/>
        <v>0.1086</v>
      </c>
      <c r="H220" s="625">
        <f t="shared" si="85"/>
        <v>0.52599015110063552</v>
      </c>
      <c r="I220" s="581">
        <f t="shared" si="69"/>
        <v>-6221.7907168213305</v>
      </c>
      <c r="J220" s="106"/>
      <c r="K220" s="448">
        <f>[3]Reserve!$C50</f>
        <v>-97098.118749693997</v>
      </c>
      <c r="L220" s="625">
        <f t="shared" si="70"/>
        <v>0.1086</v>
      </c>
      <c r="M220" s="558">
        <f t="shared" si="71"/>
        <v>0.52599015110063552</v>
      </c>
      <c r="N220" s="394">
        <f t="shared" si="72"/>
        <v>-5546.4902409874549</v>
      </c>
      <c r="P220" s="875"/>
      <c r="R220" s="78"/>
      <c r="S220" s="78"/>
    </row>
    <row r="221" spans="1:19">
      <c r="A221" s="1112">
        <f t="shared" si="73"/>
        <v>207</v>
      </c>
      <c r="B221" s="468">
        <v>39907</v>
      </c>
      <c r="C221" s="115" t="s">
        <v>520</v>
      </c>
      <c r="D221" s="448">
        <f>[3]Reserve!$Q51</f>
        <v>-14578.540548000008</v>
      </c>
      <c r="E221" s="581">
        <v>0</v>
      </c>
      <c r="F221" s="581">
        <f t="shared" si="68"/>
        <v>-14578.540548000008</v>
      </c>
      <c r="G221" s="625">
        <f t="shared" si="84"/>
        <v>0.1086</v>
      </c>
      <c r="H221" s="625">
        <f t="shared" si="85"/>
        <v>0.52599015110063552</v>
      </c>
      <c r="I221" s="581">
        <f t="shared" si="69"/>
        <v>-832.76312577968224</v>
      </c>
      <c r="J221" s="106"/>
      <c r="K221" s="448">
        <f>[3]Reserve!$C51</f>
        <v>95723.769467846156</v>
      </c>
      <c r="L221" s="625">
        <f t="shared" si="70"/>
        <v>0.1086</v>
      </c>
      <c r="M221" s="558">
        <f t="shared" si="71"/>
        <v>0.52599015110063552</v>
      </c>
      <c r="N221" s="394">
        <f t="shared" si="72"/>
        <v>5467.9839323417873</v>
      </c>
      <c r="P221" s="875"/>
      <c r="R221" s="78"/>
      <c r="S221" s="78"/>
    </row>
    <row r="222" spans="1:19">
      <c r="A222" s="1112">
        <f t="shared" si="73"/>
        <v>208</v>
      </c>
      <c r="B222" s="468">
        <v>39908</v>
      </c>
      <c r="C222" s="115" t="s">
        <v>184</v>
      </c>
      <c r="D222" s="448">
        <f>[3]Reserve!$Q52</f>
        <v>44598601.490012631</v>
      </c>
      <c r="E222" s="581">
        <v>0</v>
      </c>
      <c r="F222" s="581">
        <f t="shared" si="68"/>
        <v>44598601.490012631</v>
      </c>
      <c r="G222" s="625">
        <f t="shared" si="84"/>
        <v>0.1086</v>
      </c>
      <c r="H222" s="625">
        <f t="shared" si="85"/>
        <v>0.52599015110063552</v>
      </c>
      <c r="I222" s="581">
        <f t="shared" si="69"/>
        <v>2547584.969835713</v>
      </c>
      <c r="J222" s="106"/>
      <c r="K222" s="448">
        <f>[3]Reserve!$C52</f>
        <v>42625456.907434508</v>
      </c>
      <c r="L222" s="625">
        <f t="shared" si="70"/>
        <v>0.1086</v>
      </c>
      <c r="M222" s="558">
        <f t="shared" si="71"/>
        <v>0.52599015110063552</v>
      </c>
      <c r="N222" s="394">
        <f t="shared" si="72"/>
        <v>2434873.9584149965</v>
      </c>
      <c r="P222" s="875"/>
      <c r="R222" s="78"/>
      <c r="S222" s="78"/>
    </row>
    <row r="223" spans="1:19">
      <c r="A223" s="1112">
        <f t="shared" si="73"/>
        <v>209</v>
      </c>
      <c r="B223" s="468">
        <v>39910</v>
      </c>
      <c r="C223" s="115" t="s">
        <v>1223</v>
      </c>
      <c r="D223" s="448">
        <f>[3]Reserve!$Q53</f>
        <v>52981.628231999974</v>
      </c>
      <c r="E223" s="581">
        <v>0</v>
      </c>
      <c r="F223" s="581">
        <f t="shared" si="68"/>
        <v>52981.628231999974</v>
      </c>
      <c r="G223" s="625">
        <v>1</v>
      </c>
      <c r="H223" s="625">
        <f>$H$207</f>
        <v>1.083947E-2</v>
      </c>
      <c r="I223" s="581">
        <f t="shared" si="69"/>
        <v>574.29276977191682</v>
      </c>
      <c r="J223" s="106"/>
      <c r="K223" s="448">
        <f>[3]Reserve!$C53</f>
        <v>46616.541062461518</v>
      </c>
      <c r="L223" s="625">
        <f t="shared" si="70"/>
        <v>1</v>
      </c>
      <c r="M223" s="558">
        <f t="shared" si="71"/>
        <v>1.083947E-2</v>
      </c>
      <c r="N223" s="394">
        <f t="shared" si="72"/>
        <v>505.29859835031976</v>
      </c>
      <c r="P223" s="875"/>
      <c r="R223" s="78"/>
      <c r="S223" s="78"/>
    </row>
    <row r="224" spans="1:19">
      <c r="A224" s="1112">
        <f t="shared" si="73"/>
        <v>210</v>
      </c>
      <c r="B224" s="468">
        <v>39916</v>
      </c>
      <c r="C224" s="115" t="s">
        <v>1224</v>
      </c>
      <c r="D224" s="448">
        <f>[3]Reserve!$Q54</f>
        <v>123450.49649900006</v>
      </c>
      <c r="E224" s="581">
        <v>0</v>
      </c>
      <c r="F224" s="581">
        <f t="shared" ref="F224:F225" si="86">D224+E224</f>
        <v>123450.49649900006</v>
      </c>
      <c r="G224" s="625">
        <v>1</v>
      </c>
      <c r="H224" s="625">
        <f>$H$207</f>
        <v>1.083947E-2</v>
      </c>
      <c r="I224" s="581">
        <f t="shared" ref="I224:I225" si="87">F224*G224*H224</f>
        <v>1338.1379532860162</v>
      </c>
      <c r="J224" s="106"/>
      <c r="K224" s="448">
        <f>[3]Reserve!$C54</f>
        <v>114933.26213434618</v>
      </c>
      <c r="L224" s="625">
        <f t="shared" ref="L224:L225" si="88">G224</f>
        <v>1</v>
      </c>
      <c r="M224" s="558">
        <f t="shared" ref="M224:M225" si="89">H224</f>
        <v>1.083947E-2</v>
      </c>
      <c r="N224" s="394">
        <f t="shared" ref="N224:N225" si="90">K224*L224*M224</f>
        <v>1245.8156469073815</v>
      </c>
      <c r="P224" s="875"/>
      <c r="R224" s="78"/>
      <c r="S224" s="78"/>
    </row>
    <row r="225" spans="1:19">
      <c r="A225" s="1112">
        <f t="shared" si="73"/>
        <v>211</v>
      </c>
      <c r="B225" s="468">
        <v>39917</v>
      </c>
      <c r="C225" s="115" t="s">
        <v>1225</v>
      </c>
      <c r="D225" s="448">
        <f>[3]Reserve!$Q55</f>
        <v>38155.826591999998</v>
      </c>
      <c r="E225" s="581">
        <v>0</v>
      </c>
      <c r="F225" s="581">
        <f t="shared" si="86"/>
        <v>38155.826591999998</v>
      </c>
      <c r="G225" s="625">
        <v>1</v>
      </c>
      <c r="H225" s="625">
        <f>$H$207</f>
        <v>1.083947E-2</v>
      </c>
      <c r="I225" s="581">
        <f t="shared" si="87"/>
        <v>413.58893766918624</v>
      </c>
      <c r="J225" s="106"/>
      <c r="K225" s="448">
        <f>[3]Reserve!$C55</f>
        <v>35151.06100553846</v>
      </c>
      <c r="L225" s="625">
        <f t="shared" si="88"/>
        <v>1</v>
      </c>
      <c r="M225" s="558">
        <f t="shared" si="89"/>
        <v>1.083947E-2</v>
      </c>
      <c r="N225" s="394">
        <f t="shared" si="90"/>
        <v>381.01887123770399</v>
      </c>
      <c r="P225" s="875"/>
      <c r="R225" s="78"/>
      <c r="S225" s="78"/>
    </row>
    <row r="226" spans="1:19">
      <c r="A226" s="1112">
        <f t="shared" si="73"/>
        <v>212</v>
      </c>
      <c r="B226" s="468"/>
      <c r="C226" s="4" t="s">
        <v>1164</v>
      </c>
      <c r="D226" s="448">
        <f>[3]Reserve!$Q56</f>
        <v>0</v>
      </c>
      <c r="E226" s="496">
        <v>0</v>
      </c>
      <c r="F226" s="581">
        <f t="shared" si="68"/>
        <v>0</v>
      </c>
      <c r="G226" s="625">
        <f>$G$206</f>
        <v>0.1086</v>
      </c>
      <c r="H226" s="625">
        <f>$H$206</f>
        <v>0.52599015110063552</v>
      </c>
      <c r="I226" s="1144">
        <f t="shared" si="69"/>
        <v>0</v>
      </c>
      <c r="J226" s="106"/>
      <c r="K226" s="448">
        <f>[3]Reserve!$C56</f>
        <v>0</v>
      </c>
      <c r="L226" s="625">
        <f t="shared" si="70"/>
        <v>0.1086</v>
      </c>
      <c r="M226" s="558">
        <f t="shared" si="71"/>
        <v>0.52599015110063552</v>
      </c>
      <c r="N226" s="395">
        <f t="shared" si="72"/>
        <v>0</v>
      </c>
      <c r="P226" s="875"/>
      <c r="R226" s="78"/>
      <c r="S226" s="78"/>
    </row>
    <row r="227" spans="1:19">
      <c r="A227" s="1112">
        <f t="shared" si="73"/>
        <v>213</v>
      </c>
      <c r="B227" s="1"/>
      <c r="C227" s="4"/>
      <c r="D227" s="791"/>
      <c r="E227" s="789"/>
      <c r="F227" s="789"/>
      <c r="L227" s="241"/>
    </row>
    <row r="228" spans="1:19" ht="15.75" thickBot="1">
      <c r="A228" s="1112">
        <f t="shared" si="73"/>
        <v>214</v>
      </c>
      <c r="B228" s="1"/>
      <c r="C228" s="247" t="s">
        <v>1370</v>
      </c>
      <c r="D228" s="429">
        <f>SUM(D206:D227)</f>
        <v>53832279.336539783</v>
      </c>
      <c r="E228" s="429">
        <f>SUM(E206:E227)</f>
        <v>0</v>
      </c>
      <c r="F228" s="429">
        <f>SUM(F206:F227)</f>
        <v>53832279.336539783</v>
      </c>
      <c r="I228" s="429">
        <f>SUM(I206:I227)</f>
        <v>2914396.9862109008</v>
      </c>
      <c r="K228" s="429">
        <f>SUM(K206:K227)</f>
        <v>50889616.539604463</v>
      </c>
      <c r="N228" s="429">
        <f>SUM(N206:N227)</f>
        <v>2755524.7750931149</v>
      </c>
      <c r="P228" s="1058"/>
      <c r="Q228" s="1058"/>
    </row>
    <row r="229" spans="1:19" ht="15.75" thickTop="1">
      <c r="A229" s="1112">
        <f t="shared" si="73"/>
        <v>215</v>
      </c>
    </row>
    <row r="230" spans="1:19" ht="30.75" thickBot="1">
      <c r="A230" s="1112">
        <f t="shared" si="73"/>
        <v>216</v>
      </c>
      <c r="C230" s="512" t="s">
        <v>1166</v>
      </c>
      <c r="D230" s="429">
        <f>D228+D201+D170+D112</f>
        <v>339710258.66502726</v>
      </c>
      <c r="E230" s="429">
        <f>E228+E201+E170+E112</f>
        <v>0</v>
      </c>
      <c r="F230" s="429">
        <f>F228+F201+F170+F112</f>
        <v>339652752.15502727</v>
      </c>
      <c r="I230" s="429">
        <f>I228+I201+I170+I112</f>
        <v>172025700.90940386</v>
      </c>
      <c r="K230" s="429">
        <f>K228+K201+K170+K112</f>
        <v>331168620.45118737</v>
      </c>
      <c r="N230" s="429">
        <f>N228+N201+N170+N112</f>
        <v>168658168.73709506</v>
      </c>
      <c r="P230" s="771"/>
    </row>
    <row r="231" spans="1:19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75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31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5" customWidth="1"/>
    <col min="2" max="2" width="9.33203125" customWidth="1"/>
    <col min="3" max="3" width="33.88671875" customWidth="1"/>
    <col min="4" max="4" width="13.6640625" customWidth="1"/>
    <col min="5" max="5" width="10.33203125" customWidth="1"/>
    <col min="6" max="6" width="14.33203125" customWidth="1"/>
    <col min="7" max="7" width="12.6640625" style="76" bestFit="1" customWidth="1"/>
    <col min="8" max="8" width="13.5546875" style="76" customWidth="1"/>
    <col min="9" max="9" width="13.109375" bestFit="1" customWidth="1"/>
    <col min="10" max="10" width="3.21875" customWidth="1"/>
    <col min="11" max="11" width="13.109375" bestFit="1" customWidth="1"/>
    <col min="12" max="12" width="12.6640625" style="76" bestFit="1" customWidth="1"/>
    <col min="13" max="13" width="9.77734375" style="76" bestFit="1" customWidth="1"/>
    <col min="14" max="14" width="14.77734375" bestFit="1" customWidth="1"/>
    <col min="15" max="15" width="6.21875" customWidth="1"/>
    <col min="16" max="17" width="12" bestFit="1" customWidth="1"/>
    <col min="18" max="18" width="1.77734375" customWidth="1"/>
    <col min="19" max="19" width="7.77734375" customWidth="1"/>
    <col min="20" max="20" width="7.109375" bestFit="1" customWidth="1"/>
  </cols>
  <sheetData>
    <row r="1" spans="1:19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9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9">
      <c r="A3" s="1246" t="s">
        <v>1138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9" ht="15.75">
      <c r="A4" s="1247" t="str">
        <f>'B.1 F '!A4</f>
        <v>as of May 31, 2017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9" ht="15.75">
      <c r="A5" s="40"/>
      <c r="B5" s="40"/>
      <c r="C5" s="40"/>
      <c r="D5" s="783"/>
      <c r="E5" s="40"/>
      <c r="F5" s="40"/>
      <c r="G5" s="77"/>
      <c r="H5" s="77"/>
      <c r="I5" s="1"/>
      <c r="J5" s="1"/>
      <c r="K5" s="40"/>
      <c r="P5" s="772"/>
    </row>
    <row r="6" spans="1:19" ht="15.75">
      <c r="A6" s="4" t="str">
        <f>'B.1 F '!A6</f>
        <v>Data:______Base Period__X___Forecasted Period</v>
      </c>
      <c r="B6" s="1"/>
      <c r="C6" s="1"/>
      <c r="D6" s="1"/>
      <c r="E6" s="772"/>
      <c r="F6" s="1"/>
      <c r="G6" s="77"/>
      <c r="K6" s="1"/>
      <c r="N6" s="234" t="s">
        <v>1513</v>
      </c>
    </row>
    <row r="7" spans="1:19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70"/>
      <c r="K7" s="1"/>
      <c r="N7" s="70" t="s">
        <v>1030</v>
      </c>
    </row>
    <row r="8" spans="1:19">
      <c r="A8" s="70" t="str">
        <f>'B.1 F 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N8" s="70" t="str">
        <f>'B.1 B'!F8</f>
        <v>Witness:   Waller</v>
      </c>
    </row>
    <row r="9" spans="1:19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9">
      <c r="A10" s="508"/>
      <c r="B10" s="47"/>
      <c r="C10" s="509"/>
      <c r="D10" s="93"/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9" ht="15.75">
      <c r="A11" s="508" t="s">
        <v>98</v>
      </c>
      <c r="B11" s="46" t="s">
        <v>273</v>
      </c>
      <c r="C11" s="432" t="s">
        <v>221</v>
      </c>
      <c r="D11" s="951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9" ht="15.75">
      <c r="A12" s="433" t="s">
        <v>104</v>
      </c>
      <c r="B12" s="44" t="s">
        <v>104</v>
      </c>
      <c r="C12" s="434" t="s">
        <v>304</v>
      </c>
      <c r="D12" s="627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627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9" ht="15.75">
      <c r="B14" s="129" t="s">
        <v>6</v>
      </c>
      <c r="J14" s="81"/>
    </row>
    <row r="15" spans="1:19">
      <c r="A15" s="2">
        <v>1</v>
      </c>
      <c r="B15" s="1"/>
      <c r="C15" s="17" t="s">
        <v>305</v>
      </c>
    </row>
    <row r="16" spans="1:19">
      <c r="A16" s="2">
        <f>A15+1</f>
        <v>2</v>
      </c>
      <c r="B16" s="685">
        <v>30100</v>
      </c>
      <c r="C16" s="4" t="s">
        <v>299</v>
      </c>
      <c r="D16" s="448">
        <f>[3]Reserve!$AF84</f>
        <v>8329.7199999999993</v>
      </c>
      <c r="E16" s="462">
        <v>0</v>
      </c>
      <c r="F16" s="462">
        <f>D16-E16</f>
        <v>8329.7199999999993</v>
      </c>
      <c r="G16" s="623">
        <v>1</v>
      </c>
      <c r="H16" s="623">
        <f>$G$16</f>
        <v>1</v>
      </c>
      <c r="I16" s="462">
        <f>F16*G16*H16</f>
        <v>8329.7199999999993</v>
      </c>
      <c r="J16" s="1142"/>
      <c r="K16" s="448">
        <f>[3]Reserve!$D84</f>
        <v>8329.7199999999993</v>
      </c>
      <c r="L16" s="624">
        <f t="shared" ref="L16:M17" si="0">$G$16</f>
        <v>1</v>
      </c>
      <c r="M16" s="624">
        <f t="shared" si="0"/>
        <v>1</v>
      </c>
      <c r="N16" s="407">
        <f>K16*L16*M16</f>
        <v>8329.7199999999993</v>
      </c>
      <c r="S16" s="685"/>
    </row>
    <row r="17" spans="1:19">
      <c r="A17" s="779">
        <f t="shared" ref="A17:A80" si="1">A16+1</f>
        <v>3</v>
      </c>
      <c r="B17" s="685">
        <v>30200</v>
      </c>
      <c r="C17" s="4" t="s">
        <v>158</v>
      </c>
      <c r="D17" s="448">
        <f>[3]Reserve!$AF85</f>
        <v>119852.69</v>
      </c>
      <c r="E17" s="809">
        <v>0</v>
      </c>
      <c r="F17" s="809">
        <f t="shared" ref="F17:F75" si="2">D17-E17</f>
        <v>119852.69</v>
      </c>
      <c r="G17" s="623">
        <f>$G$16</f>
        <v>1</v>
      </c>
      <c r="H17" s="623">
        <f>$G$16</f>
        <v>1</v>
      </c>
      <c r="I17" s="809">
        <f>F17*G17*H17</f>
        <v>119852.69</v>
      </c>
      <c r="J17" s="106"/>
      <c r="K17" s="448">
        <f>[3]Reserve!$D85</f>
        <v>119852.68999999996</v>
      </c>
      <c r="L17" s="624">
        <f t="shared" si="0"/>
        <v>1</v>
      </c>
      <c r="M17" s="624">
        <f t="shared" si="0"/>
        <v>1</v>
      </c>
      <c r="N17" s="390">
        <f>K17*L17*M17</f>
        <v>119852.68999999996</v>
      </c>
      <c r="S17" s="685"/>
    </row>
    <row r="18" spans="1:19">
      <c r="A18" s="948">
        <f t="shared" si="1"/>
        <v>4</v>
      </c>
      <c r="B18" s="685"/>
      <c r="C18" s="4"/>
      <c r="D18" s="1147"/>
      <c r="E18" s="1147"/>
      <c r="F18" s="1147"/>
      <c r="G18" s="623"/>
      <c r="H18" s="623"/>
      <c r="I18" s="1147"/>
      <c r="J18" s="106"/>
      <c r="K18" s="1147"/>
      <c r="N18" s="792"/>
    </row>
    <row r="19" spans="1:19">
      <c r="A19" s="948">
        <f t="shared" si="1"/>
        <v>5</v>
      </c>
      <c r="B19" s="468"/>
      <c r="C19" s="4" t="s">
        <v>1440</v>
      </c>
      <c r="D19" s="462">
        <f>SUM(D16:D18)</f>
        <v>128182.41</v>
      </c>
      <c r="E19" s="462">
        <f>SUM(E16:E18)</f>
        <v>0</v>
      </c>
      <c r="F19" s="462">
        <f>SUM(F16:F18)</f>
        <v>128182.41</v>
      </c>
      <c r="G19" s="623"/>
      <c r="H19" s="623"/>
      <c r="I19" s="462">
        <f>SUM(I16:I18)</f>
        <v>128182.41</v>
      </c>
      <c r="J19" s="106"/>
      <c r="K19" s="462">
        <f>SUM(K16:K18)</f>
        <v>128182.40999999996</v>
      </c>
      <c r="N19" s="407">
        <f>SUM(N16:N17)</f>
        <v>128182.40999999996</v>
      </c>
    </row>
    <row r="20" spans="1:19">
      <c r="A20" s="779">
        <f t="shared" si="1"/>
        <v>6</v>
      </c>
      <c r="B20" s="468"/>
      <c r="C20" s="1"/>
      <c r="D20" s="809"/>
      <c r="E20" s="809"/>
      <c r="F20" s="809"/>
      <c r="G20" s="623"/>
      <c r="H20" s="623"/>
      <c r="I20" s="809"/>
      <c r="J20" s="106"/>
      <c r="K20" s="809"/>
      <c r="N20" s="390"/>
    </row>
    <row r="21" spans="1:19">
      <c r="A21" s="779">
        <f t="shared" si="1"/>
        <v>7</v>
      </c>
      <c r="B21" s="468"/>
      <c r="C21" s="17" t="s">
        <v>159</v>
      </c>
      <c r="D21" s="809"/>
      <c r="E21" s="809"/>
      <c r="F21" s="809"/>
      <c r="G21" s="623"/>
      <c r="H21" s="623"/>
      <c r="I21" s="809"/>
      <c r="J21" s="106"/>
      <c r="K21" s="809"/>
      <c r="N21" s="390"/>
    </row>
    <row r="22" spans="1:19">
      <c r="A22" s="948">
        <f t="shared" si="1"/>
        <v>8</v>
      </c>
      <c r="B22" s="685">
        <v>32540</v>
      </c>
      <c r="C22" s="4" t="s">
        <v>166</v>
      </c>
      <c r="D22" s="448">
        <f>[3]Reserve!$AF86</f>
        <v>0</v>
      </c>
      <c r="E22" s="462">
        <v>0</v>
      </c>
      <c r="F22" s="462">
        <f t="shared" si="2"/>
        <v>0</v>
      </c>
      <c r="G22" s="623">
        <f t="shared" ref="G22:H24" si="3">$G$16</f>
        <v>1</v>
      </c>
      <c r="H22" s="623">
        <f t="shared" si="3"/>
        <v>1</v>
      </c>
      <c r="I22" s="462">
        <f t="shared" ref="I22:I24" si="4">F22*G22*H22</f>
        <v>0</v>
      </c>
      <c r="J22" s="106"/>
      <c r="K22" s="448">
        <f>[3]Reserve!$D86</f>
        <v>0</v>
      </c>
      <c r="L22" s="624">
        <f t="shared" ref="L22:M24" si="5">$G$16</f>
        <v>1</v>
      </c>
      <c r="M22" s="624">
        <f t="shared" si="5"/>
        <v>1</v>
      </c>
      <c r="N22" s="407">
        <f t="shared" ref="N22:N24" si="6">K22*L22*M22</f>
        <v>0</v>
      </c>
      <c r="S22" s="685"/>
    </row>
    <row r="23" spans="1:19">
      <c r="A23" s="1069">
        <f t="shared" si="1"/>
        <v>9</v>
      </c>
      <c r="B23" s="685">
        <v>33202</v>
      </c>
      <c r="C23" s="4" t="s">
        <v>612</v>
      </c>
      <c r="D23" s="448">
        <f>[3]Reserve!$AF87</f>
        <v>-28968.38</v>
      </c>
      <c r="E23" s="809">
        <v>0</v>
      </c>
      <c r="F23" s="809">
        <f t="shared" si="2"/>
        <v>-28968.38</v>
      </c>
      <c r="G23" s="623">
        <f t="shared" si="3"/>
        <v>1</v>
      </c>
      <c r="H23" s="623">
        <f t="shared" si="3"/>
        <v>1</v>
      </c>
      <c r="I23" s="809">
        <f t="shared" si="4"/>
        <v>-28968.38</v>
      </c>
      <c r="J23" s="106"/>
      <c r="K23" s="448">
        <f>[3]Reserve!$D87</f>
        <v>-28968.38</v>
      </c>
      <c r="L23" s="624">
        <f t="shared" si="5"/>
        <v>1</v>
      </c>
      <c r="M23" s="624">
        <f t="shared" si="5"/>
        <v>1</v>
      </c>
      <c r="N23" s="390">
        <f t="shared" si="6"/>
        <v>-28968.38</v>
      </c>
      <c r="S23" s="685"/>
    </row>
    <row r="24" spans="1:19">
      <c r="A24" s="1069">
        <f t="shared" si="1"/>
        <v>10</v>
      </c>
      <c r="B24" s="685">
        <v>33400</v>
      </c>
      <c r="C24" s="4" t="s">
        <v>1140</v>
      </c>
      <c r="D24" s="448">
        <f>[3]Reserve!$AF88</f>
        <v>1572.3399999999997</v>
      </c>
      <c r="E24" s="809">
        <v>0</v>
      </c>
      <c r="F24" s="809">
        <f t="shared" si="2"/>
        <v>1572.3399999999997</v>
      </c>
      <c r="G24" s="623">
        <f t="shared" si="3"/>
        <v>1</v>
      </c>
      <c r="H24" s="623">
        <f t="shared" si="3"/>
        <v>1</v>
      </c>
      <c r="I24" s="809">
        <f t="shared" si="4"/>
        <v>1572.3399999999997</v>
      </c>
      <c r="J24" s="106"/>
      <c r="K24" s="448">
        <f>[3]Reserve!$D88</f>
        <v>1572.34</v>
      </c>
      <c r="L24" s="624">
        <f t="shared" si="5"/>
        <v>1</v>
      </c>
      <c r="M24" s="624">
        <f t="shared" si="5"/>
        <v>1</v>
      </c>
      <c r="N24" s="390">
        <f t="shared" si="6"/>
        <v>1572.34</v>
      </c>
      <c r="S24" s="685"/>
    </row>
    <row r="25" spans="1:19">
      <c r="A25" s="1069">
        <f t="shared" si="1"/>
        <v>11</v>
      </c>
      <c r="B25" s="685"/>
      <c r="C25" s="1"/>
      <c r="D25" s="1147"/>
      <c r="E25" s="809"/>
      <c r="F25" s="809"/>
      <c r="G25" s="623"/>
      <c r="H25" s="623"/>
      <c r="I25" s="809"/>
      <c r="J25" s="106"/>
      <c r="K25" s="1147"/>
      <c r="N25" s="390"/>
    </row>
    <row r="26" spans="1:19">
      <c r="A26" s="1069">
        <f t="shared" si="1"/>
        <v>12</v>
      </c>
      <c r="B26" s="685"/>
      <c r="C26" s="1" t="s">
        <v>1439</v>
      </c>
      <c r="D26" s="462">
        <f>SUM(D22:D25)</f>
        <v>-27396.04</v>
      </c>
      <c r="E26" s="462">
        <f>SUM(E22:E25)</f>
        <v>0</v>
      </c>
      <c r="F26" s="462">
        <f>SUM(F22:F25)</f>
        <v>-27396.04</v>
      </c>
      <c r="G26" s="623"/>
      <c r="H26" s="623"/>
      <c r="I26" s="462">
        <f>SUM(I22:I25)</f>
        <v>-27396.04</v>
      </c>
      <c r="J26" s="106"/>
      <c r="K26" s="462">
        <f>SUM(K22:K25)</f>
        <v>-27396.04</v>
      </c>
      <c r="N26" s="407">
        <f>SUM(N22:N25)</f>
        <v>-27396.04</v>
      </c>
    </row>
    <row r="27" spans="1:19">
      <c r="A27" s="1069">
        <f t="shared" si="1"/>
        <v>13</v>
      </c>
      <c r="B27" s="685"/>
      <c r="C27" s="4"/>
      <c r="D27" s="809"/>
      <c r="E27" s="809"/>
      <c r="F27" s="809"/>
      <c r="G27" s="623"/>
      <c r="H27" s="623"/>
      <c r="I27" s="809"/>
      <c r="J27" s="106"/>
      <c r="K27" s="809"/>
      <c r="N27" s="390"/>
    </row>
    <row r="28" spans="1:19">
      <c r="A28" s="1069">
        <f t="shared" si="1"/>
        <v>14</v>
      </c>
      <c r="B28" s="685"/>
      <c r="C28" s="17" t="s">
        <v>284</v>
      </c>
      <c r="D28" s="809"/>
      <c r="E28" s="809"/>
      <c r="F28" s="809"/>
      <c r="G28" s="623"/>
      <c r="H28" s="623"/>
      <c r="I28" s="809"/>
      <c r="J28" s="106"/>
      <c r="K28" s="809"/>
      <c r="N28" s="390"/>
    </row>
    <row r="29" spans="1:19">
      <c r="A29" s="1069">
        <f t="shared" si="1"/>
        <v>15</v>
      </c>
      <c r="B29" s="685">
        <v>35010</v>
      </c>
      <c r="C29" s="4" t="s">
        <v>300</v>
      </c>
      <c r="D29" s="448">
        <f>[3]Reserve!$AF89</f>
        <v>0</v>
      </c>
      <c r="E29" s="462">
        <v>0</v>
      </c>
      <c r="F29" s="462">
        <f t="shared" si="2"/>
        <v>0</v>
      </c>
      <c r="G29" s="623">
        <f t="shared" ref="G29:H45" si="7">$G$16</f>
        <v>1</v>
      </c>
      <c r="H29" s="623">
        <f t="shared" si="7"/>
        <v>1</v>
      </c>
      <c r="I29" s="462">
        <f t="shared" ref="I29:I45" si="8">F29*G29*H29</f>
        <v>0</v>
      </c>
      <c r="J29" s="106"/>
      <c r="K29" s="448">
        <f>[3]Reserve!$D89</f>
        <v>0</v>
      </c>
      <c r="L29" s="624">
        <f t="shared" ref="L29:M45" si="9">$G$16</f>
        <v>1</v>
      </c>
      <c r="M29" s="624">
        <f t="shared" si="9"/>
        <v>1</v>
      </c>
      <c r="N29" s="407">
        <f t="shared" ref="N29:N45" si="10">K29*L29*M29</f>
        <v>0</v>
      </c>
      <c r="S29" s="685"/>
    </row>
    <row r="30" spans="1:19">
      <c r="A30" s="1069">
        <f t="shared" si="1"/>
        <v>16</v>
      </c>
      <c r="B30" s="685">
        <v>35020</v>
      </c>
      <c r="C30" s="4" t="s">
        <v>809</v>
      </c>
      <c r="D30" s="448">
        <f>[3]Reserve!$AF90</f>
        <v>5420.21</v>
      </c>
      <c r="E30" s="809">
        <v>0</v>
      </c>
      <c r="F30" s="809">
        <f t="shared" si="2"/>
        <v>5420.21</v>
      </c>
      <c r="G30" s="623">
        <f t="shared" si="7"/>
        <v>1</v>
      </c>
      <c r="H30" s="623">
        <f t="shared" si="7"/>
        <v>1</v>
      </c>
      <c r="I30" s="809">
        <f t="shared" si="8"/>
        <v>5420.21</v>
      </c>
      <c r="J30" s="106"/>
      <c r="K30" s="448">
        <f>[3]Reserve!$D90</f>
        <v>5420.21</v>
      </c>
      <c r="L30" s="624">
        <f t="shared" si="9"/>
        <v>1</v>
      </c>
      <c r="M30" s="624">
        <f t="shared" si="9"/>
        <v>1</v>
      </c>
      <c r="N30" s="390">
        <f t="shared" si="10"/>
        <v>5420.21</v>
      </c>
      <c r="S30" s="685"/>
    </row>
    <row r="31" spans="1:19">
      <c r="A31" s="1069">
        <f t="shared" si="1"/>
        <v>17</v>
      </c>
      <c r="B31" s="685">
        <v>35100</v>
      </c>
      <c r="C31" s="4" t="s">
        <v>988</v>
      </c>
      <c r="D31" s="448">
        <f>[3]Reserve!$AF91</f>
        <v>5649.706938499995</v>
      </c>
      <c r="E31" s="809">
        <v>0</v>
      </c>
      <c r="F31" s="809">
        <f t="shared" si="2"/>
        <v>5649.706938499995</v>
      </c>
      <c r="G31" s="623">
        <f t="shared" si="7"/>
        <v>1</v>
      </c>
      <c r="H31" s="623">
        <f t="shared" si="7"/>
        <v>1</v>
      </c>
      <c r="I31" s="809">
        <f t="shared" si="8"/>
        <v>5649.706938499995</v>
      </c>
      <c r="J31" s="106"/>
      <c r="K31" s="448">
        <f>[3]Reserve!$D91</f>
        <v>5500.106751999996</v>
      </c>
      <c r="L31" s="624">
        <f t="shared" si="9"/>
        <v>1</v>
      </c>
      <c r="M31" s="624">
        <f t="shared" si="9"/>
        <v>1</v>
      </c>
      <c r="N31" s="390">
        <f t="shared" si="10"/>
        <v>5500.106751999996</v>
      </c>
      <c r="S31" s="685"/>
    </row>
    <row r="32" spans="1:19">
      <c r="A32" s="1069">
        <f t="shared" si="1"/>
        <v>18</v>
      </c>
      <c r="B32" s="685">
        <v>35102</v>
      </c>
      <c r="C32" s="4" t="s">
        <v>285</v>
      </c>
      <c r="D32" s="448">
        <f>[3]Reserve!$AF92</f>
        <v>110845.3518975</v>
      </c>
      <c r="E32" s="809">
        <v>0</v>
      </c>
      <c r="F32" s="809">
        <f t="shared" si="2"/>
        <v>110845.3518975</v>
      </c>
      <c r="G32" s="623">
        <f t="shared" si="7"/>
        <v>1</v>
      </c>
      <c r="H32" s="623">
        <f t="shared" si="7"/>
        <v>1</v>
      </c>
      <c r="I32" s="809">
        <f t="shared" si="8"/>
        <v>110845.3518975</v>
      </c>
      <c r="J32" s="106"/>
      <c r="K32" s="448">
        <f>[3]Reserve!$D92</f>
        <v>109879.8057075</v>
      </c>
      <c r="L32" s="624">
        <f t="shared" si="9"/>
        <v>1</v>
      </c>
      <c r="M32" s="624">
        <f t="shared" si="9"/>
        <v>1</v>
      </c>
      <c r="N32" s="390">
        <f t="shared" si="10"/>
        <v>109879.8057075</v>
      </c>
      <c r="S32" s="685"/>
    </row>
    <row r="33" spans="1:19">
      <c r="A33" s="1069">
        <f t="shared" si="1"/>
        <v>19</v>
      </c>
      <c r="B33" s="685">
        <v>35103</v>
      </c>
      <c r="C33" s="4" t="s">
        <v>601</v>
      </c>
      <c r="D33" s="448">
        <f>[3]Reserve!$AF93</f>
        <v>20161.219591000005</v>
      </c>
      <c r="E33" s="809">
        <v>0</v>
      </c>
      <c r="F33" s="809">
        <f t="shared" si="2"/>
        <v>20161.219591000005</v>
      </c>
      <c r="G33" s="623">
        <f t="shared" si="7"/>
        <v>1</v>
      </c>
      <c r="H33" s="623">
        <f t="shared" si="7"/>
        <v>1</v>
      </c>
      <c r="I33" s="809">
        <f t="shared" si="8"/>
        <v>20161.219591000005</v>
      </c>
      <c r="J33" s="106"/>
      <c r="K33" s="448">
        <f>[3]Reserve!$D93</f>
        <v>20054.783043000007</v>
      </c>
      <c r="L33" s="624">
        <f t="shared" si="9"/>
        <v>1</v>
      </c>
      <c r="M33" s="624">
        <f t="shared" si="9"/>
        <v>1</v>
      </c>
      <c r="N33" s="390">
        <f t="shared" si="10"/>
        <v>20054.783043000007</v>
      </c>
      <c r="S33" s="685"/>
    </row>
    <row r="34" spans="1:19">
      <c r="A34" s="1069">
        <f t="shared" si="1"/>
        <v>20</v>
      </c>
      <c r="B34" s="685">
        <v>35104</v>
      </c>
      <c r="C34" s="4" t="s">
        <v>602</v>
      </c>
      <c r="D34" s="448">
        <f>[3]Reserve!$AF94</f>
        <v>97118.979280500003</v>
      </c>
      <c r="E34" s="809">
        <v>0</v>
      </c>
      <c r="F34" s="809">
        <f t="shared" si="2"/>
        <v>97118.979280500003</v>
      </c>
      <c r="G34" s="623">
        <f t="shared" si="7"/>
        <v>1</v>
      </c>
      <c r="H34" s="623">
        <f t="shared" si="7"/>
        <v>1</v>
      </c>
      <c r="I34" s="809">
        <f t="shared" si="8"/>
        <v>97118.979280500003</v>
      </c>
      <c r="J34" s="106"/>
      <c r="K34" s="448">
        <f>[3]Reserve!$D94</f>
        <v>96225.602835499987</v>
      </c>
      <c r="L34" s="624">
        <f t="shared" si="9"/>
        <v>1</v>
      </c>
      <c r="M34" s="624">
        <f t="shared" si="9"/>
        <v>1</v>
      </c>
      <c r="N34" s="390">
        <f t="shared" si="10"/>
        <v>96225.602835499987</v>
      </c>
      <c r="S34" s="685"/>
    </row>
    <row r="35" spans="1:19">
      <c r="A35" s="1069">
        <f t="shared" si="1"/>
        <v>21</v>
      </c>
      <c r="B35" s="685">
        <v>35200</v>
      </c>
      <c r="C35" s="4" t="s">
        <v>455</v>
      </c>
      <c r="D35" s="448">
        <f>[3]Reserve!$AF95</f>
        <v>1106783.0021614919</v>
      </c>
      <c r="E35" s="809">
        <v>0</v>
      </c>
      <c r="F35" s="809">
        <f t="shared" si="2"/>
        <v>1106783.0021614919</v>
      </c>
      <c r="G35" s="623">
        <f t="shared" si="7"/>
        <v>1</v>
      </c>
      <c r="H35" s="623">
        <f t="shared" si="7"/>
        <v>1</v>
      </c>
      <c r="I35" s="809">
        <f t="shared" si="8"/>
        <v>1106783.0021614919</v>
      </c>
      <c r="J35" s="106"/>
      <c r="K35" s="448">
        <f>[3]Reserve!$D95</f>
        <v>1016575.8265509648</v>
      </c>
      <c r="L35" s="624">
        <f t="shared" si="9"/>
        <v>1</v>
      </c>
      <c r="M35" s="624">
        <f t="shared" si="9"/>
        <v>1</v>
      </c>
      <c r="N35" s="390">
        <f t="shared" si="10"/>
        <v>1016575.8265509648</v>
      </c>
      <c r="S35" s="685"/>
    </row>
    <row r="36" spans="1:19">
      <c r="A36" s="1069">
        <f t="shared" si="1"/>
        <v>22</v>
      </c>
      <c r="B36" s="685">
        <v>35201</v>
      </c>
      <c r="C36" s="4" t="s">
        <v>603</v>
      </c>
      <c r="D36" s="448">
        <f>[3]Reserve!$AF96</f>
        <v>1380382.2222955006</v>
      </c>
      <c r="E36" s="809">
        <v>0</v>
      </c>
      <c r="F36" s="809">
        <f t="shared" si="2"/>
        <v>1380382.2222955006</v>
      </c>
      <c r="G36" s="623">
        <f t="shared" si="7"/>
        <v>1</v>
      </c>
      <c r="H36" s="623">
        <f t="shared" si="7"/>
        <v>1</v>
      </c>
      <c r="I36" s="809">
        <f t="shared" si="8"/>
        <v>1380382.2222955006</v>
      </c>
      <c r="J36" s="106"/>
      <c r="K36" s="448">
        <f>[3]Reserve!$D96</f>
        <v>1367547.2333185005</v>
      </c>
      <c r="L36" s="624">
        <f t="shared" si="9"/>
        <v>1</v>
      </c>
      <c r="M36" s="624">
        <f t="shared" si="9"/>
        <v>1</v>
      </c>
      <c r="N36" s="390">
        <f t="shared" si="10"/>
        <v>1367547.2333185005</v>
      </c>
      <c r="S36" s="685"/>
    </row>
    <row r="37" spans="1:19">
      <c r="A37" s="1069">
        <f t="shared" si="1"/>
        <v>23</v>
      </c>
      <c r="B37" s="685">
        <v>35202</v>
      </c>
      <c r="C37" s="4" t="s">
        <v>604</v>
      </c>
      <c r="D37" s="448">
        <f>[3]Reserve!$AF97</f>
        <v>380998.98592599994</v>
      </c>
      <c r="E37" s="809">
        <v>0</v>
      </c>
      <c r="F37" s="809">
        <f t="shared" si="2"/>
        <v>380998.98592599994</v>
      </c>
      <c r="G37" s="623">
        <f t="shared" si="7"/>
        <v>1</v>
      </c>
      <c r="H37" s="623">
        <f t="shared" si="7"/>
        <v>1</v>
      </c>
      <c r="I37" s="809">
        <f t="shared" si="8"/>
        <v>380998.98592599994</v>
      </c>
      <c r="J37" s="106"/>
      <c r="K37" s="448">
        <f>[3]Reserve!$D97</f>
        <v>379065.42822699994</v>
      </c>
      <c r="L37" s="624">
        <f t="shared" si="9"/>
        <v>1</v>
      </c>
      <c r="M37" s="624">
        <f t="shared" si="9"/>
        <v>1</v>
      </c>
      <c r="N37" s="390">
        <f t="shared" si="10"/>
        <v>379065.42822699994</v>
      </c>
      <c r="S37" s="685"/>
    </row>
    <row r="38" spans="1:19">
      <c r="A38" s="1069">
        <f t="shared" si="1"/>
        <v>24</v>
      </c>
      <c r="B38" s="685">
        <v>35203</v>
      </c>
      <c r="C38" s="4" t="s">
        <v>353</v>
      </c>
      <c r="D38" s="448">
        <f>[3]Reserve!$AF98</f>
        <v>696738.55835200008</v>
      </c>
      <c r="E38" s="809">
        <v>0</v>
      </c>
      <c r="F38" s="809">
        <f t="shared" si="2"/>
        <v>696738.55835200008</v>
      </c>
      <c r="G38" s="623">
        <f t="shared" si="7"/>
        <v>1</v>
      </c>
      <c r="H38" s="623">
        <f t="shared" si="7"/>
        <v>1</v>
      </c>
      <c r="I38" s="809">
        <f t="shared" si="8"/>
        <v>696738.55835200008</v>
      </c>
      <c r="J38" s="106"/>
      <c r="K38" s="448">
        <f>[3]Reserve!$D98</f>
        <v>681485.06171199982</v>
      </c>
      <c r="L38" s="624">
        <f t="shared" si="9"/>
        <v>1</v>
      </c>
      <c r="M38" s="624">
        <f t="shared" si="9"/>
        <v>1</v>
      </c>
      <c r="N38" s="390">
        <f t="shared" si="10"/>
        <v>681485.06171199982</v>
      </c>
      <c r="S38" s="685"/>
    </row>
    <row r="39" spans="1:19">
      <c r="A39" s="1069">
        <f t="shared" si="1"/>
        <v>25</v>
      </c>
      <c r="B39" s="685">
        <v>35210</v>
      </c>
      <c r="C39" s="4" t="s">
        <v>605</v>
      </c>
      <c r="D39" s="448">
        <f>[3]Reserve!$AF99</f>
        <v>166700.34361225017</v>
      </c>
      <c r="E39" s="809">
        <v>0</v>
      </c>
      <c r="F39" s="809">
        <f t="shared" si="2"/>
        <v>166700.34361225017</v>
      </c>
      <c r="G39" s="623">
        <f t="shared" si="7"/>
        <v>1</v>
      </c>
      <c r="H39" s="623">
        <f t="shared" si="7"/>
        <v>1</v>
      </c>
      <c r="I39" s="809">
        <f t="shared" si="8"/>
        <v>166700.34361225017</v>
      </c>
      <c r="J39" s="106"/>
      <c r="K39" s="448">
        <f>[3]Reserve!$D99</f>
        <v>166387.91595475018</v>
      </c>
      <c r="L39" s="624">
        <f t="shared" si="9"/>
        <v>1</v>
      </c>
      <c r="M39" s="624">
        <f t="shared" si="9"/>
        <v>1</v>
      </c>
      <c r="N39" s="390">
        <f t="shared" si="10"/>
        <v>166387.91595475018</v>
      </c>
      <c r="S39" s="685"/>
    </row>
    <row r="40" spans="1:19">
      <c r="A40" s="1069">
        <f t="shared" si="1"/>
        <v>26</v>
      </c>
      <c r="B40" s="685">
        <v>35211</v>
      </c>
      <c r="C40" s="4" t="s">
        <v>606</v>
      </c>
      <c r="D40" s="448">
        <f>[3]Reserve!$AF100</f>
        <v>43316.55656374996</v>
      </c>
      <c r="E40" s="809">
        <v>0</v>
      </c>
      <c r="F40" s="809">
        <f t="shared" si="2"/>
        <v>43316.55656374996</v>
      </c>
      <c r="G40" s="623">
        <f t="shared" si="7"/>
        <v>1</v>
      </c>
      <c r="H40" s="623">
        <f t="shared" si="7"/>
        <v>1</v>
      </c>
      <c r="I40" s="809">
        <f t="shared" si="8"/>
        <v>43316.55656374996</v>
      </c>
      <c r="J40" s="106"/>
      <c r="K40" s="448">
        <f>[3]Reserve!$D100</f>
        <v>43076.253775749952</v>
      </c>
      <c r="L40" s="624">
        <f t="shared" si="9"/>
        <v>1</v>
      </c>
      <c r="M40" s="624">
        <f t="shared" si="9"/>
        <v>1</v>
      </c>
      <c r="N40" s="390">
        <f t="shared" si="10"/>
        <v>43076.253775749952</v>
      </c>
      <c r="S40" s="685"/>
    </row>
    <row r="41" spans="1:19">
      <c r="A41" s="1069">
        <f t="shared" si="1"/>
        <v>27</v>
      </c>
      <c r="B41" s="685">
        <v>35301</v>
      </c>
      <c r="C41" s="1" t="s">
        <v>167</v>
      </c>
      <c r="D41" s="448">
        <f>[3]Reserve!$AF101</f>
        <v>154864.934775</v>
      </c>
      <c r="E41" s="809">
        <v>0</v>
      </c>
      <c r="F41" s="809">
        <f t="shared" si="2"/>
        <v>154864.934775</v>
      </c>
      <c r="G41" s="623">
        <f t="shared" si="7"/>
        <v>1</v>
      </c>
      <c r="H41" s="623">
        <f t="shared" si="7"/>
        <v>1</v>
      </c>
      <c r="I41" s="809">
        <f t="shared" si="8"/>
        <v>154864.934775</v>
      </c>
      <c r="J41" s="106"/>
      <c r="K41" s="448">
        <f>[3]Reserve!$D101</f>
        <v>154142.02232999998</v>
      </c>
      <c r="L41" s="624">
        <f t="shared" si="9"/>
        <v>1</v>
      </c>
      <c r="M41" s="624">
        <f t="shared" si="9"/>
        <v>1</v>
      </c>
      <c r="N41" s="390">
        <f t="shared" si="10"/>
        <v>154142.02232999998</v>
      </c>
      <c r="S41" s="685"/>
    </row>
    <row r="42" spans="1:19">
      <c r="A42" s="1069">
        <f t="shared" si="1"/>
        <v>28</v>
      </c>
      <c r="B42" s="685">
        <v>35302</v>
      </c>
      <c r="C42" s="4" t="s">
        <v>612</v>
      </c>
      <c r="D42" s="448">
        <f>[3]Reserve!$AF102</f>
        <v>213181.89999999997</v>
      </c>
      <c r="E42" s="809">
        <v>0</v>
      </c>
      <c r="F42" s="809">
        <f t="shared" si="2"/>
        <v>213181.89999999997</v>
      </c>
      <c r="G42" s="623">
        <f t="shared" si="7"/>
        <v>1</v>
      </c>
      <c r="H42" s="623">
        <f t="shared" si="7"/>
        <v>1</v>
      </c>
      <c r="I42" s="809">
        <f t="shared" si="8"/>
        <v>213181.89999999997</v>
      </c>
      <c r="J42" s="106"/>
      <c r="K42" s="448">
        <f>[3]Reserve!$D102</f>
        <v>213181.89999999994</v>
      </c>
      <c r="L42" s="624">
        <f t="shared" si="9"/>
        <v>1</v>
      </c>
      <c r="M42" s="624">
        <f t="shared" si="9"/>
        <v>1</v>
      </c>
      <c r="N42" s="390">
        <f t="shared" si="10"/>
        <v>213181.89999999994</v>
      </c>
      <c r="S42" s="685"/>
    </row>
    <row r="43" spans="1:19">
      <c r="A43" s="1069">
        <f t="shared" si="1"/>
        <v>29</v>
      </c>
      <c r="B43" s="685">
        <v>35400</v>
      </c>
      <c r="C43" s="4" t="s">
        <v>607</v>
      </c>
      <c r="D43" s="448">
        <f>[3]Reserve!$AF103</f>
        <v>488916.65222249989</v>
      </c>
      <c r="E43" s="809">
        <v>0</v>
      </c>
      <c r="F43" s="809">
        <f t="shared" si="2"/>
        <v>488916.65222249989</v>
      </c>
      <c r="G43" s="623">
        <f t="shared" si="7"/>
        <v>1</v>
      </c>
      <c r="H43" s="623">
        <f t="shared" si="7"/>
        <v>1</v>
      </c>
      <c r="I43" s="809">
        <f t="shared" si="8"/>
        <v>488916.65222249989</v>
      </c>
      <c r="J43" s="106"/>
      <c r="K43" s="448">
        <f>[3]Reserve!$D103</f>
        <v>480605.63777249999</v>
      </c>
      <c r="L43" s="624">
        <f t="shared" si="9"/>
        <v>1</v>
      </c>
      <c r="M43" s="624">
        <f t="shared" si="9"/>
        <v>1</v>
      </c>
      <c r="N43" s="390">
        <f t="shared" si="10"/>
        <v>480605.63777249999</v>
      </c>
      <c r="S43" s="685"/>
    </row>
    <row r="44" spans="1:19">
      <c r="A44" s="1069">
        <f t="shared" si="1"/>
        <v>30</v>
      </c>
      <c r="B44" s="685">
        <v>35500</v>
      </c>
      <c r="C44" s="4" t="s">
        <v>1011</v>
      </c>
      <c r="D44" s="448">
        <f>[3]Reserve!$AF104</f>
        <v>207206.03372350009</v>
      </c>
      <c r="E44" s="809">
        <v>0</v>
      </c>
      <c r="F44" s="809">
        <f t="shared" si="2"/>
        <v>207206.03372350009</v>
      </c>
      <c r="G44" s="623">
        <f t="shared" si="7"/>
        <v>1</v>
      </c>
      <c r="H44" s="623">
        <f t="shared" si="7"/>
        <v>1</v>
      </c>
      <c r="I44" s="809">
        <f t="shared" si="8"/>
        <v>207206.03372350009</v>
      </c>
      <c r="J44" s="106"/>
      <c r="K44" s="448">
        <f>[3]Reserve!$D104</f>
        <v>206591.78199700007</v>
      </c>
      <c r="L44" s="624">
        <f t="shared" si="9"/>
        <v>1</v>
      </c>
      <c r="M44" s="624">
        <f t="shared" si="9"/>
        <v>1</v>
      </c>
      <c r="N44" s="390">
        <f t="shared" si="10"/>
        <v>206591.78199700007</v>
      </c>
      <c r="S44" s="685"/>
    </row>
    <row r="45" spans="1:19">
      <c r="A45" s="1069">
        <f t="shared" si="1"/>
        <v>31</v>
      </c>
      <c r="B45" s="685">
        <v>35600</v>
      </c>
      <c r="C45" s="4" t="s">
        <v>1060</v>
      </c>
      <c r="D45" s="448">
        <f>[3]Reserve!$AF105</f>
        <v>161950.92083374993</v>
      </c>
      <c r="E45" s="1138">
        <v>0</v>
      </c>
      <c r="F45" s="1138">
        <f t="shared" si="2"/>
        <v>161950.92083374993</v>
      </c>
      <c r="G45" s="623">
        <f t="shared" si="7"/>
        <v>1</v>
      </c>
      <c r="H45" s="623">
        <f t="shared" si="7"/>
        <v>1</v>
      </c>
      <c r="I45" s="1138">
        <f t="shared" si="8"/>
        <v>161950.92083374993</v>
      </c>
      <c r="J45" s="106"/>
      <c r="K45" s="448">
        <f>[3]Reserve!$D105</f>
        <v>157700.62047124992</v>
      </c>
      <c r="L45" s="624">
        <f t="shared" si="9"/>
        <v>1</v>
      </c>
      <c r="M45" s="624">
        <f t="shared" si="9"/>
        <v>1</v>
      </c>
      <c r="N45" s="393">
        <f t="shared" si="10"/>
        <v>157700.62047124992</v>
      </c>
      <c r="S45" s="685"/>
    </row>
    <row r="46" spans="1:19">
      <c r="A46" s="1069">
        <f t="shared" si="1"/>
        <v>32</v>
      </c>
      <c r="B46" s="685"/>
      <c r="C46" s="4"/>
      <c r="D46" s="1147"/>
      <c r="E46" s="809"/>
      <c r="F46" s="809"/>
      <c r="G46" s="623"/>
      <c r="H46" s="623"/>
      <c r="I46" s="809"/>
      <c r="J46" s="106"/>
      <c r="K46" s="1147"/>
      <c r="N46" s="390"/>
    </row>
    <row r="47" spans="1:19">
      <c r="A47" s="1069">
        <f t="shared" si="1"/>
        <v>33</v>
      </c>
      <c r="B47" s="685"/>
      <c r="C47" s="4" t="s">
        <v>1438</v>
      </c>
      <c r="D47" s="462">
        <f>SUM(D29:D46)</f>
        <v>5240235.5781732425</v>
      </c>
      <c r="E47" s="462">
        <f>SUM(E29:E46)</f>
        <v>0</v>
      </c>
      <c r="F47" s="462">
        <f>SUM(F29:F46)</f>
        <v>5240235.5781732425</v>
      </c>
      <c r="G47" s="623"/>
      <c r="H47" s="623"/>
      <c r="I47" s="462">
        <f>SUM(I29:I46)</f>
        <v>5240235.5781732425</v>
      </c>
      <c r="J47" s="106"/>
      <c r="K47" s="462">
        <f>SUM(K29:K46)</f>
        <v>5103440.1904477142</v>
      </c>
      <c r="N47" s="407">
        <f>SUM(N29:N46)</f>
        <v>5103440.1904477142</v>
      </c>
    </row>
    <row r="48" spans="1:19">
      <c r="A48" s="1069">
        <f t="shared" si="1"/>
        <v>34</v>
      </c>
      <c r="B48" s="685"/>
      <c r="C48" s="4"/>
      <c r="D48" s="809"/>
      <c r="E48" s="809"/>
      <c r="F48" s="809"/>
      <c r="G48" s="623"/>
      <c r="H48" s="623"/>
      <c r="I48" s="809"/>
      <c r="J48" s="106"/>
      <c r="K48" s="809"/>
      <c r="N48" s="390"/>
    </row>
    <row r="49" spans="1:19">
      <c r="A49" s="1069">
        <f t="shared" si="1"/>
        <v>35</v>
      </c>
      <c r="B49" s="685"/>
      <c r="C49" s="17" t="s">
        <v>1012</v>
      </c>
      <c r="D49" s="809"/>
      <c r="E49" s="809"/>
      <c r="F49" s="809"/>
      <c r="G49" s="623"/>
      <c r="H49" s="623"/>
      <c r="I49" s="809"/>
      <c r="J49" s="106"/>
      <c r="K49" s="809"/>
      <c r="N49" s="390"/>
    </row>
    <row r="50" spans="1:19">
      <c r="A50" s="1069">
        <f t="shared" si="1"/>
        <v>36</v>
      </c>
      <c r="B50" s="685">
        <v>36510</v>
      </c>
      <c r="C50" s="4" t="s">
        <v>300</v>
      </c>
      <c r="D50" s="448">
        <f>[3]Reserve!$AF106</f>
        <v>0</v>
      </c>
      <c r="E50" s="462">
        <v>0</v>
      </c>
      <c r="F50" s="462">
        <f t="shared" si="2"/>
        <v>0</v>
      </c>
      <c r="G50" s="623">
        <f t="shared" ref="G50:H57" si="11">$G$16</f>
        <v>1</v>
      </c>
      <c r="H50" s="623">
        <f t="shared" si="11"/>
        <v>1</v>
      </c>
      <c r="I50" s="462">
        <f t="shared" ref="I50:I57" si="12">F50*G50*H50</f>
        <v>0</v>
      </c>
      <c r="J50" s="106"/>
      <c r="K50" s="448">
        <f>[3]Reserve!$D106</f>
        <v>0</v>
      </c>
      <c r="L50" s="624">
        <f t="shared" ref="L50:M57" si="13">$G$16</f>
        <v>1</v>
      </c>
      <c r="M50" s="624">
        <f t="shared" si="13"/>
        <v>1</v>
      </c>
      <c r="N50" s="407">
        <f t="shared" ref="N50:N57" si="14">K50*L50*M50</f>
        <v>0</v>
      </c>
      <c r="S50" s="685"/>
    </row>
    <row r="51" spans="1:19">
      <c r="A51" s="1069">
        <f t="shared" si="1"/>
        <v>37</v>
      </c>
      <c r="B51" s="685">
        <v>36520</v>
      </c>
      <c r="C51" s="4" t="s">
        <v>809</v>
      </c>
      <c r="D51" s="448">
        <f>[3]Reserve!$AF107</f>
        <v>457857.93129999959</v>
      </c>
      <c r="E51" s="809">
        <v>0</v>
      </c>
      <c r="F51" s="809">
        <f t="shared" si="2"/>
        <v>457857.93129999959</v>
      </c>
      <c r="G51" s="623">
        <f t="shared" si="11"/>
        <v>1</v>
      </c>
      <c r="H51" s="623">
        <f t="shared" si="11"/>
        <v>1</v>
      </c>
      <c r="I51" s="809">
        <f t="shared" si="12"/>
        <v>457857.93129999959</v>
      </c>
      <c r="J51" s="106"/>
      <c r="K51" s="448">
        <f>[3]Reserve!$D107</f>
        <v>452087.24749999971</v>
      </c>
      <c r="L51" s="624">
        <f t="shared" si="13"/>
        <v>1</v>
      </c>
      <c r="M51" s="624">
        <f t="shared" si="13"/>
        <v>1</v>
      </c>
      <c r="N51" s="390">
        <f t="shared" si="14"/>
        <v>452087.24749999971</v>
      </c>
      <c r="S51" s="685"/>
    </row>
    <row r="52" spans="1:19">
      <c r="A52" s="1069">
        <f t="shared" si="1"/>
        <v>38</v>
      </c>
      <c r="B52" s="685">
        <v>36602</v>
      </c>
      <c r="C52" s="4" t="s">
        <v>874</v>
      </c>
      <c r="D52" s="448">
        <f>[3]Reserve!$AF108</f>
        <v>13847.584352</v>
      </c>
      <c r="E52" s="809">
        <v>0</v>
      </c>
      <c r="F52" s="809">
        <f t="shared" si="2"/>
        <v>13847.584352</v>
      </c>
      <c r="G52" s="623">
        <f t="shared" si="11"/>
        <v>1</v>
      </c>
      <c r="H52" s="623">
        <f t="shared" si="11"/>
        <v>1</v>
      </c>
      <c r="I52" s="809">
        <f t="shared" si="12"/>
        <v>13847.584352</v>
      </c>
      <c r="J52" s="106"/>
      <c r="K52" s="448">
        <f>[3]Reserve!$D108</f>
        <v>13411.469043999994</v>
      </c>
      <c r="L52" s="624">
        <f t="shared" si="13"/>
        <v>1</v>
      </c>
      <c r="M52" s="624">
        <f t="shared" si="13"/>
        <v>1</v>
      </c>
      <c r="N52" s="390">
        <f t="shared" si="14"/>
        <v>13411.469043999994</v>
      </c>
      <c r="S52" s="685"/>
    </row>
    <row r="53" spans="1:19">
      <c r="A53" s="1069">
        <f t="shared" si="1"/>
        <v>39</v>
      </c>
      <c r="B53" s="685">
        <v>36603</v>
      </c>
      <c r="C53" s="4" t="s">
        <v>1013</v>
      </c>
      <c r="D53" s="448">
        <f>[3]Reserve!$AF109</f>
        <v>47821.560763999994</v>
      </c>
      <c r="E53" s="809">
        <v>0</v>
      </c>
      <c r="F53" s="809">
        <f t="shared" si="2"/>
        <v>47821.560763999994</v>
      </c>
      <c r="G53" s="623">
        <f t="shared" si="11"/>
        <v>1</v>
      </c>
      <c r="H53" s="623">
        <f t="shared" si="11"/>
        <v>1</v>
      </c>
      <c r="I53" s="809">
        <f t="shared" si="12"/>
        <v>47821.560763999994</v>
      </c>
      <c r="J53" s="106"/>
      <c r="K53" s="448">
        <f>[3]Reserve!$D109</f>
        <v>47280.206782999987</v>
      </c>
      <c r="L53" s="624">
        <f t="shared" si="13"/>
        <v>1</v>
      </c>
      <c r="M53" s="624">
        <f t="shared" si="13"/>
        <v>1</v>
      </c>
      <c r="N53" s="390">
        <f t="shared" si="14"/>
        <v>47280.206782999987</v>
      </c>
      <c r="S53" s="685"/>
    </row>
    <row r="54" spans="1:19">
      <c r="A54" s="1069">
        <f t="shared" si="1"/>
        <v>40</v>
      </c>
      <c r="B54" s="685">
        <v>36700</v>
      </c>
      <c r="C54" s="4" t="s">
        <v>861</v>
      </c>
      <c r="D54" s="448">
        <f>[3]Reserve!$AF110</f>
        <v>135619.65000000008</v>
      </c>
      <c r="E54" s="809">
        <v>0</v>
      </c>
      <c r="F54" s="809">
        <f t="shared" si="2"/>
        <v>135619.65000000008</v>
      </c>
      <c r="G54" s="623">
        <f t="shared" si="11"/>
        <v>1</v>
      </c>
      <c r="H54" s="623">
        <f t="shared" si="11"/>
        <v>1</v>
      </c>
      <c r="I54" s="809">
        <f t="shared" si="12"/>
        <v>135619.65000000008</v>
      </c>
      <c r="J54" s="106"/>
      <c r="K54" s="448">
        <f>[3]Reserve!$D110</f>
        <v>130981.93000000007</v>
      </c>
      <c r="L54" s="624">
        <f t="shared" si="13"/>
        <v>1</v>
      </c>
      <c r="M54" s="624">
        <f t="shared" si="13"/>
        <v>1</v>
      </c>
      <c r="N54" s="390">
        <f t="shared" si="14"/>
        <v>130981.93000000007</v>
      </c>
      <c r="S54" s="685"/>
    </row>
    <row r="55" spans="1:19">
      <c r="A55" s="1069">
        <f t="shared" si="1"/>
        <v>41</v>
      </c>
      <c r="B55" s="685">
        <v>36701</v>
      </c>
      <c r="C55" s="4" t="s">
        <v>16</v>
      </c>
      <c r="D55" s="448">
        <f>[3]Reserve!$AF111</f>
        <v>18552063.393450242</v>
      </c>
      <c r="E55" s="809">
        <v>0</v>
      </c>
      <c r="F55" s="809">
        <f t="shared" si="2"/>
        <v>18552063.393450242</v>
      </c>
      <c r="G55" s="623">
        <f t="shared" si="11"/>
        <v>1</v>
      </c>
      <c r="H55" s="623">
        <f t="shared" si="11"/>
        <v>1</v>
      </c>
      <c r="I55" s="809">
        <f t="shared" si="12"/>
        <v>18552063.393450242</v>
      </c>
      <c r="J55" s="106"/>
      <c r="K55" s="448">
        <f>[3]Reserve!$D111</f>
        <v>18289712.331949748</v>
      </c>
      <c r="L55" s="624">
        <f t="shared" si="13"/>
        <v>1</v>
      </c>
      <c r="M55" s="624">
        <f t="shared" si="13"/>
        <v>1</v>
      </c>
      <c r="N55" s="390">
        <f t="shared" si="14"/>
        <v>18289712.331949748</v>
      </c>
      <c r="S55" s="685"/>
    </row>
    <row r="56" spans="1:19">
      <c r="A56" s="1069">
        <f t="shared" si="1"/>
        <v>42</v>
      </c>
      <c r="B56" s="685">
        <v>36900</v>
      </c>
      <c r="C56" s="4" t="s">
        <v>1014</v>
      </c>
      <c r="D56" s="448">
        <f>[3]Reserve!$AF112</f>
        <v>273635.76948299992</v>
      </c>
      <c r="E56" s="809">
        <v>0</v>
      </c>
      <c r="F56" s="809">
        <f t="shared" si="2"/>
        <v>273635.76948299992</v>
      </c>
      <c r="G56" s="623">
        <f t="shared" si="11"/>
        <v>1</v>
      </c>
      <c r="H56" s="623">
        <f t="shared" si="11"/>
        <v>1</v>
      </c>
      <c r="I56" s="809">
        <f t="shared" si="12"/>
        <v>273635.76948299992</v>
      </c>
      <c r="J56" s="106"/>
      <c r="K56" s="448">
        <f>[3]Reserve!$D112</f>
        <v>267055.03536699997</v>
      </c>
      <c r="L56" s="624">
        <f t="shared" si="13"/>
        <v>1</v>
      </c>
      <c r="M56" s="624">
        <f t="shared" si="13"/>
        <v>1</v>
      </c>
      <c r="N56" s="390">
        <f t="shared" si="14"/>
        <v>267055.03536699997</v>
      </c>
      <c r="S56" s="685"/>
    </row>
    <row r="57" spans="1:19">
      <c r="A57" s="1069">
        <f t="shared" si="1"/>
        <v>43</v>
      </c>
      <c r="B57" s="685">
        <v>36901</v>
      </c>
      <c r="C57" s="4" t="s">
        <v>1014</v>
      </c>
      <c r="D57" s="448">
        <f>[3]Reserve!$AF113</f>
        <v>1479163.8811027487</v>
      </c>
      <c r="E57" s="1138">
        <v>0</v>
      </c>
      <c r="F57" s="1138">
        <f t="shared" si="2"/>
        <v>1479163.8811027487</v>
      </c>
      <c r="G57" s="623">
        <f t="shared" si="11"/>
        <v>1</v>
      </c>
      <c r="H57" s="623">
        <f t="shared" si="11"/>
        <v>1</v>
      </c>
      <c r="I57" s="1138">
        <f t="shared" si="12"/>
        <v>1479163.8811027487</v>
      </c>
      <c r="J57" s="106"/>
      <c r="K57" s="448">
        <f>[3]Reserve!$D113</f>
        <v>1454876.2570157489</v>
      </c>
      <c r="L57" s="624">
        <f t="shared" si="13"/>
        <v>1</v>
      </c>
      <c r="M57" s="624">
        <f t="shared" si="13"/>
        <v>1</v>
      </c>
      <c r="N57" s="393">
        <f t="shared" si="14"/>
        <v>1454876.2570157489</v>
      </c>
      <c r="S57" s="685"/>
    </row>
    <row r="58" spans="1:19">
      <c r="A58" s="1069">
        <f t="shared" si="1"/>
        <v>44</v>
      </c>
      <c r="B58" s="685"/>
      <c r="C58" s="4"/>
      <c r="D58" s="1147"/>
      <c r="E58" s="809"/>
      <c r="F58" s="809"/>
      <c r="G58" s="623"/>
      <c r="H58" s="623"/>
      <c r="I58" s="809"/>
      <c r="J58" s="106"/>
      <c r="K58" s="1147"/>
      <c r="N58" s="390"/>
    </row>
    <row r="59" spans="1:19">
      <c r="A59" s="1069">
        <f t="shared" si="1"/>
        <v>45</v>
      </c>
      <c r="B59" s="468"/>
      <c r="C59" s="4" t="s">
        <v>1437</v>
      </c>
      <c r="D59" s="462">
        <f>SUM(D50:D58)</f>
        <v>20960009.770451989</v>
      </c>
      <c r="E59" s="462">
        <f>SUM(E50:E58)</f>
        <v>0</v>
      </c>
      <c r="F59" s="462">
        <f>SUM(F50:F58)</f>
        <v>20960009.770451989</v>
      </c>
      <c r="G59" s="623"/>
      <c r="H59" s="623"/>
      <c r="I59" s="462">
        <f>SUM(I50:I58)</f>
        <v>20960009.770451989</v>
      </c>
      <c r="J59" s="106"/>
      <c r="K59" s="462">
        <f>SUM(K50:K58)</f>
        <v>20655404.477659497</v>
      </c>
      <c r="N59" s="407">
        <f>SUM(N50:N58)</f>
        <v>20655404.477659497</v>
      </c>
    </row>
    <row r="60" spans="1:19">
      <c r="A60" s="1069">
        <f t="shared" si="1"/>
        <v>46</v>
      </c>
      <c r="B60" s="468"/>
      <c r="C60" s="1"/>
      <c r="D60" s="809"/>
      <c r="E60" s="809"/>
      <c r="F60" s="809"/>
      <c r="G60" s="623"/>
      <c r="H60" s="623"/>
      <c r="I60" s="809"/>
      <c r="J60" s="106"/>
      <c r="K60" s="809"/>
      <c r="N60" s="390"/>
    </row>
    <row r="61" spans="1:19">
      <c r="A61" s="1069">
        <f t="shared" si="1"/>
        <v>47</v>
      </c>
      <c r="B61" s="468"/>
      <c r="C61" s="17" t="s">
        <v>307</v>
      </c>
      <c r="D61" s="809"/>
      <c r="E61" s="809"/>
      <c r="F61" s="809"/>
      <c r="G61" s="623"/>
      <c r="H61" s="623"/>
      <c r="I61" s="809"/>
      <c r="J61" s="106"/>
      <c r="K61" s="809"/>
      <c r="N61" s="390"/>
    </row>
    <row r="62" spans="1:19">
      <c r="A62" s="1069">
        <f t="shared" si="1"/>
        <v>48</v>
      </c>
      <c r="B62" s="685">
        <v>37400</v>
      </c>
      <c r="C62" s="4" t="s">
        <v>1168</v>
      </c>
      <c r="D62" s="448">
        <f>[3]Reserve!$AF114</f>
        <v>-0.01</v>
      </c>
      <c r="E62" s="462">
        <v>0</v>
      </c>
      <c r="F62" s="462">
        <f t="shared" si="2"/>
        <v>-0.01</v>
      </c>
      <c r="G62" s="623">
        <f t="shared" ref="G62:H81" si="15">$G$16</f>
        <v>1</v>
      </c>
      <c r="H62" s="623">
        <f t="shared" si="15"/>
        <v>1</v>
      </c>
      <c r="I62" s="462">
        <f t="shared" ref="I62:I81" si="16">F62*G62*H62</f>
        <v>-0.01</v>
      </c>
      <c r="J62" s="106"/>
      <c r="K62" s="448">
        <f>[3]Reserve!$D114</f>
        <v>-9.9999999999999985E-3</v>
      </c>
      <c r="L62" s="624">
        <f t="shared" ref="L62:M81" si="17">$G$16</f>
        <v>1</v>
      </c>
      <c r="M62" s="624">
        <f t="shared" si="17"/>
        <v>1</v>
      </c>
      <c r="N62" s="407">
        <f t="shared" ref="N62:N81" si="18">K62*L62*M62</f>
        <v>-9.9999999999999985E-3</v>
      </c>
      <c r="S62" s="685"/>
    </row>
    <row r="63" spans="1:19">
      <c r="A63" s="1069">
        <f t="shared" si="1"/>
        <v>49</v>
      </c>
      <c r="B63" s="685">
        <v>37401</v>
      </c>
      <c r="C63" s="4" t="s">
        <v>300</v>
      </c>
      <c r="D63" s="448">
        <f>[3]Reserve!$AF115</f>
        <v>0</v>
      </c>
      <c r="E63" s="809">
        <v>0</v>
      </c>
      <c r="F63" s="809">
        <f t="shared" si="2"/>
        <v>0</v>
      </c>
      <c r="G63" s="623">
        <f t="shared" si="15"/>
        <v>1</v>
      </c>
      <c r="H63" s="623">
        <f t="shared" si="15"/>
        <v>1</v>
      </c>
      <c r="I63" s="809">
        <f t="shared" si="16"/>
        <v>0</v>
      </c>
      <c r="J63" s="106"/>
      <c r="K63" s="448">
        <f>[3]Reserve!$D115</f>
        <v>0</v>
      </c>
      <c r="L63" s="624">
        <f t="shared" si="17"/>
        <v>1</v>
      </c>
      <c r="M63" s="624">
        <f t="shared" si="17"/>
        <v>1</v>
      </c>
      <c r="N63" s="390">
        <f t="shared" si="18"/>
        <v>0</v>
      </c>
      <c r="S63" s="685"/>
    </row>
    <row r="64" spans="1:19">
      <c r="A64" s="1069">
        <f t="shared" si="1"/>
        <v>50</v>
      </c>
      <c r="B64" s="685">
        <v>37402</v>
      </c>
      <c r="C64" s="4" t="s">
        <v>1018</v>
      </c>
      <c r="D64" s="448">
        <f>[3]Reserve!$AF116</f>
        <v>131276.55425531496</v>
      </c>
      <c r="E64" s="809">
        <v>0</v>
      </c>
      <c r="F64" s="809">
        <f t="shared" si="2"/>
        <v>131276.55425531496</v>
      </c>
      <c r="G64" s="623">
        <f t="shared" si="15"/>
        <v>1</v>
      </c>
      <c r="H64" s="623">
        <f t="shared" si="15"/>
        <v>1</v>
      </c>
      <c r="I64" s="809">
        <f t="shared" si="16"/>
        <v>131276.55425531496</v>
      </c>
      <c r="J64" s="106"/>
      <c r="K64" s="448">
        <f>[3]Reserve!$D116</f>
        <v>120248.31965378176</v>
      </c>
      <c r="L64" s="624">
        <f t="shared" si="17"/>
        <v>1</v>
      </c>
      <c r="M64" s="624">
        <f t="shared" si="17"/>
        <v>1</v>
      </c>
      <c r="N64" s="390">
        <f t="shared" si="18"/>
        <v>120248.31965378176</v>
      </c>
      <c r="S64" s="685"/>
    </row>
    <row r="65" spans="1:19">
      <c r="A65" s="1069">
        <f t="shared" si="1"/>
        <v>51</v>
      </c>
      <c r="B65" s="685">
        <v>37403</v>
      </c>
      <c r="C65" s="4" t="s">
        <v>1015</v>
      </c>
      <c r="D65" s="448">
        <f>[3]Reserve!$AF117</f>
        <v>0</v>
      </c>
      <c r="E65" s="809">
        <v>0</v>
      </c>
      <c r="F65" s="809">
        <f t="shared" si="2"/>
        <v>0</v>
      </c>
      <c r="G65" s="623">
        <f t="shared" si="15"/>
        <v>1</v>
      </c>
      <c r="H65" s="623">
        <f t="shared" si="15"/>
        <v>1</v>
      </c>
      <c r="I65" s="809">
        <f t="shared" si="16"/>
        <v>0</v>
      </c>
      <c r="J65" s="106"/>
      <c r="K65" s="448">
        <f>[3]Reserve!$D117</f>
        <v>0</v>
      </c>
      <c r="L65" s="624">
        <f t="shared" si="17"/>
        <v>1</v>
      </c>
      <c r="M65" s="624">
        <f t="shared" si="17"/>
        <v>1</v>
      </c>
      <c r="N65" s="390">
        <f t="shared" si="18"/>
        <v>0</v>
      </c>
      <c r="S65" s="685"/>
    </row>
    <row r="66" spans="1:19">
      <c r="A66" s="1069">
        <f t="shared" si="1"/>
        <v>52</v>
      </c>
      <c r="B66" s="685">
        <v>37500</v>
      </c>
      <c r="C66" s="4" t="s">
        <v>874</v>
      </c>
      <c r="D66" s="448">
        <f>[3]Reserve!$AF118</f>
        <v>96542.198037500013</v>
      </c>
      <c r="E66" s="809">
        <v>0</v>
      </c>
      <c r="F66" s="809">
        <f t="shared" si="2"/>
        <v>96542.198037500013</v>
      </c>
      <c r="G66" s="623">
        <f t="shared" si="15"/>
        <v>1</v>
      </c>
      <c r="H66" s="623">
        <f t="shared" si="15"/>
        <v>1</v>
      </c>
      <c r="I66" s="809">
        <f t="shared" si="16"/>
        <v>96542.198037500013</v>
      </c>
      <c r="J66" s="106"/>
      <c r="K66" s="448">
        <f>[3]Reserve!$D118</f>
        <v>93079.672375500042</v>
      </c>
      <c r="L66" s="624">
        <f t="shared" si="17"/>
        <v>1</v>
      </c>
      <c r="M66" s="624">
        <f t="shared" si="17"/>
        <v>1</v>
      </c>
      <c r="N66" s="390">
        <f t="shared" si="18"/>
        <v>93079.672375500042</v>
      </c>
      <c r="S66" s="685"/>
    </row>
    <row r="67" spans="1:19">
      <c r="A67" s="1069">
        <f t="shared" si="1"/>
        <v>53</v>
      </c>
      <c r="B67" s="685">
        <v>37501</v>
      </c>
      <c r="C67" s="4" t="s">
        <v>1016</v>
      </c>
      <c r="D67" s="448">
        <f>[3]Reserve!$AF119</f>
        <v>63895.483543749964</v>
      </c>
      <c r="E67" s="809">
        <v>0</v>
      </c>
      <c r="F67" s="809">
        <f t="shared" si="2"/>
        <v>63895.483543749964</v>
      </c>
      <c r="G67" s="623">
        <f t="shared" si="15"/>
        <v>1</v>
      </c>
      <c r="H67" s="623">
        <f t="shared" si="15"/>
        <v>1</v>
      </c>
      <c r="I67" s="809">
        <f t="shared" si="16"/>
        <v>63895.483543749964</v>
      </c>
      <c r="J67" s="106"/>
      <c r="K67" s="448">
        <f>[3]Reserve!$D119</f>
        <v>62867.356804749979</v>
      </c>
      <c r="L67" s="624">
        <f t="shared" si="17"/>
        <v>1</v>
      </c>
      <c r="M67" s="624">
        <f t="shared" si="17"/>
        <v>1</v>
      </c>
      <c r="N67" s="390">
        <f t="shared" si="18"/>
        <v>62867.356804749979</v>
      </c>
      <c r="S67" s="685"/>
    </row>
    <row r="68" spans="1:19">
      <c r="A68" s="1069">
        <f t="shared" si="1"/>
        <v>54</v>
      </c>
      <c r="B68" s="685">
        <v>37502</v>
      </c>
      <c r="C68" s="4" t="s">
        <v>1018</v>
      </c>
      <c r="D68" s="448">
        <f>[3]Reserve!$AF120</f>
        <v>32193.092006250019</v>
      </c>
      <c r="E68" s="809">
        <v>0</v>
      </c>
      <c r="F68" s="809">
        <f t="shared" si="2"/>
        <v>32193.092006250019</v>
      </c>
      <c r="G68" s="623">
        <f t="shared" si="15"/>
        <v>1</v>
      </c>
      <c r="H68" s="623">
        <f t="shared" si="15"/>
        <v>1</v>
      </c>
      <c r="I68" s="809">
        <f t="shared" si="16"/>
        <v>32193.092006250019</v>
      </c>
      <c r="J68" s="106"/>
      <c r="K68" s="448">
        <f>[3]Reserve!$D120</f>
        <v>31716.570849250005</v>
      </c>
      <c r="L68" s="624">
        <f t="shared" si="17"/>
        <v>1</v>
      </c>
      <c r="M68" s="624">
        <f t="shared" si="17"/>
        <v>1</v>
      </c>
      <c r="N68" s="390">
        <f t="shared" si="18"/>
        <v>31716.570849250005</v>
      </c>
      <c r="S68" s="685"/>
    </row>
    <row r="69" spans="1:19">
      <c r="A69" s="1069">
        <f t="shared" si="1"/>
        <v>55</v>
      </c>
      <c r="B69" s="685">
        <v>37503</v>
      </c>
      <c r="C69" s="4" t="s">
        <v>1017</v>
      </c>
      <c r="D69" s="448">
        <f>[3]Reserve!$AF121</f>
        <v>1689.5173249999984</v>
      </c>
      <c r="E69" s="809">
        <v>0</v>
      </c>
      <c r="F69" s="809">
        <f t="shared" si="2"/>
        <v>1689.5173249999984</v>
      </c>
      <c r="G69" s="623">
        <f t="shared" si="15"/>
        <v>1</v>
      </c>
      <c r="H69" s="623">
        <f t="shared" si="15"/>
        <v>1</v>
      </c>
      <c r="I69" s="809">
        <f t="shared" si="16"/>
        <v>1689.5173249999984</v>
      </c>
      <c r="J69" s="106"/>
      <c r="K69" s="448">
        <f>[3]Reserve!$D121</f>
        <v>1648.2650009999986</v>
      </c>
      <c r="L69" s="624">
        <f t="shared" si="17"/>
        <v>1</v>
      </c>
      <c r="M69" s="624">
        <f t="shared" si="17"/>
        <v>1</v>
      </c>
      <c r="N69" s="390">
        <f t="shared" si="18"/>
        <v>1648.2650009999986</v>
      </c>
      <c r="S69" s="685"/>
    </row>
    <row r="70" spans="1:19">
      <c r="A70" s="1069">
        <f t="shared" si="1"/>
        <v>56</v>
      </c>
      <c r="B70" s="685">
        <v>37600</v>
      </c>
      <c r="C70" s="4" t="s">
        <v>861</v>
      </c>
      <c r="D70" s="448">
        <f>[3]Reserve!$AF122</f>
        <v>12613667.313597281</v>
      </c>
      <c r="E70" s="809">
        <v>0</v>
      </c>
      <c r="F70" s="809">
        <f t="shared" si="2"/>
        <v>12613667.313597281</v>
      </c>
      <c r="G70" s="623">
        <f t="shared" si="15"/>
        <v>1</v>
      </c>
      <c r="H70" s="623">
        <f t="shared" si="15"/>
        <v>1</v>
      </c>
      <c r="I70" s="809">
        <f t="shared" si="16"/>
        <v>12613667.313597281</v>
      </c>
      <c r="J70" s="106"/>
      <c r="K70" s="448">
        <f>[3]Reserve!$D122</f>
        <v>12563726.007170392</v>
      </c>
      <c r="L70" s="624">
        <f t="shared" si="17"/>
        <v>1</v>
      </c>
      <c r="M70" s="624">
        <f t="shared" si="17"/>
        <v>1</v>
      </c>
      <c r="N70" s="390">
        <f t="shared" si="18"/>
        <v>12563726.007170392</v>
      </c>
      <c r="S70" s="685"/>
    </row>
    <row r="71" spans="1:19">
      <c r="A71" s="1069">
        <f t="shared" si="1"/>
        <v>57</v>
      </c>
      <c r="B71" s="685">
        <v>37601</v>
      </c>
      <c r="C71" s="4" t="s">
        <v>16</v>
      </c>
      <c r="D71" s="448">
        <f>[3]Reserve!$AF123</f>
        <v>26014977.518867083</v>
      </c>
      <c r="E71" s="809">
        <v>0</v>
      </c>
      <c r="F71" s="809">
        <f t="shared" si="2"/>
        <v>26014977.518867083</v>
      </c>
      <c r="G71" s="623">
        <f t="shared" si="15"/>
        <v>1</v>
      </c>
      <c r="H71" s="623">
        <f t="shared" si="15"/>
        <v>1</v>
      </c>
      <c r="I71" s="809">
        <f t="shared" si="16"/>
        <v>26014977.518867083</v>
      </c>
      <c r="J71" s="106"/>
      <c r="K71" s="448">
        <f>[3]Reserve!$D123</f>
        <v>25503851.906295814</v>
      </c>
      <c r="L71" s="624">
        <f t="shared" si="17"/>
        <v>1</v>
      </c>
      <c r="M71" s="624">
        <f t="shared" si="17"/>
        <v>1</v>
      </c>
      <c r="N71" s="390">
        <f t="shared" si="18"/>
        <v>25503851.906295814</v>
      </c>
      <c r="S71" s="685"/>
    </row>
    <row r="72" spans="1:19">
      <c r="A72" s="1069">
        <f t="shared" si="1"/>
        <v>58</v>
      </c>
      <c r="B72" s="685">
        <v>37602</v>
      </c>
      <c r="C72" s="4" t="s">
        <v>862</v>
      </c>
      <c r="D72" s="448">
        <f>[3]Reserve!$AF124</f>
        <v>15350581.999358786</v>
      </c>
      <c r="E72" s="809">
        <v>0</v>
      </c>
      <c r="F72" s="809">
        <f t="shared" si="2"/>
        <v>15350581.999358786</v>
      </c>
      <c r="G72" s="623">
        <f t="shared" si="15"/>
        <v>1</v>
      </c>
      <c r="H72" s="623">
        <f t="shared" si="15"/>
        <v>1</v>
      </c>
      <c r="I72" s="809">
        <f t="shared" si="16"/>
        <v>15350581.999358786</v>
      </c>
      <c r="J72" s="106"/>
      <c r="K72" s="448">
        <f>[3]Reserve!$D124</f>
        <v>14330469.760161983</v>
      </c>
      <c r="L72" s="624">
        <f t="shared" si="17"/>
        <v>1</v>
      </c>
      <c r="M72" s="624">
        <f t="shared" si="17"/>
        <v>1</v>
      </c>
      <c r="N72" s="390">
        <f t="shared" si="18"/>
        <v>14330469.760161983</v>
      </c>
      <c r="S72" s="685"/>
    </row>
    <row r="73" spans="1:19">
      <c r="A73" s="1069">
        <f t="shared" si="1"/>
        <v>59</v>
      </c>
      <c r="B73" s="685">
        <v>37800</v>
      </c>
      <c r="C73" s="4" t="s">
        <v>234</v>
      </c>
      <c r="D73" s="448">
        <f>[3]Reserve!$AF125</f>
        <v>2142318.3952790843</v>
      </c>
      <c r="E73" s="809">
        <v>0</v>
      </c>
      <c r="F73" s="809">
        <f t="shared" si="2"/>
        <v>2142318.3952790843</v>
      </c>
      <c r="G73" s="623">
        <f t="shared" si="15"/>
        <v>1</v>
      </c>
      <c r="H73" s="623">
        <f t="shared" si="15"/>
        <v>1</v>
      </c>
      <c r="I73" s="809">
        <f t="shared" si="16"/>
        <v>2142318.3952790843</v>
      </c>
      <c r="J73" s="106"/>
      <c r="K73" s="448">
        <f>[3]Reserve!$D125</f>
        <v>2038790.2839423008</v>
      </c>
      <c r="L73" s="624">
        <f t="shared" si="17"/>
        <v>1</v>
      </c>
      <c r="M73" s="624">
        <f t="shared" si="17"/>
        <v>1</v>
      </c>
      <c r="N73" s="390">
        <f t="shared" si="18"/>
        <v>2038790.2839423008</v>
      </c>
      <c r="S73" s="685"/>
    </row>
    <row r="74" spans="1:19">
      <c r="A74" s="1069">
        <f t="shared" si="1"/>
        <v>60</v>
      </c>
      <c r="B74" s="685">
        <v>37900</v>
      </c>
      <c r="C74" s="4" t="s">
        <v>1211</v>
      </c>
      <c r="D74" s="448">
        <f>[3]Reserve!$AF126</f>
        <v>679347.38363375934</v>
      </c>
      <c r="E74" s="809">
        <v>0</v>
      </c>
      <c r="F74" s="809">
        <f t="shared" si="2"/>
        <v>679347.38363375934</v>
      </c>
      <c r="G74" s="623">
        <f t="shared" si="15"/>
        <v>1</v>
      </c>
      <c r="H74" s="623">
        <f t="shared" si="15"/>
        <v>1</v>
      </c>
      <c r="I74" s="809">
        <f t="shared" si="16"/>
        <v>679347.38363375934</v>
      </c>
      <c r="J74" s="106"/>
      <c r="K74" s="448">
        <f>[3]Reserve!$D126</f>
        <v>636817.22325764527</v>
      </c>
      <c r="L74" s="624">
        <f t="shared" si="17"/>
        <v>1</v>
      </c>
      <c r="M74" s="624">
        <f t="shared" si="17"/>
        <v>1</v>
      </c>
      <c r="N74" s="390">
        <f t="shared" si="18"/>
        <v>636817.22325764527</v>
      </c>
      <c r="S74" s="685"/>
    </row>
    <row r="75" spans="1:19">
      <c r="A75" s="1069">
        <f t="shared" si="1"/>
        <v>61</v>
      </c>
      <c r="B75" s="685">
        <v>37905</v>
      </c>
      <c r="C75" s="4" t="s">
        <v>742</v>
      </c>
      <c r="D75" s="448">
        <f>[3]Reserve!$AF127</f>
        <v>892395.7075239995</v>
      </c>
      <c r="E75" s="809">
        <v>0</v>
      </c>
      <c r="F75" s="809">
        <f t="shared" si="2"/>
        <v>892395.7075239995</v>
      </c>
      <c r="G75" s="623">
        <f t="shared" si="15"/>
        <v>1</v>
      </c>
      <c r="H75" s="623">
        <f t="shared" si="15"/>
        <v>1</v>
      </c>
      <c r="I75" s="809">
        <f t="shared" si="16"/>
        <v>892395.7075239995</v>
      </c>
      <c r="J75" s="106"/>
      <c r="K75" s="448">
        <f>[3]Reserve!$D127</f>
        <v>872464.07280099951</v>
      </c>
      <c r="L75" s="624">
        <f t="shared" si="17"/>
        <v>1</v>
      </c>
      <c r="M75" s="624">
        <f t="shared" si="17"/>
        <v>1</v>
      </c>
      <c r="N75" s="390">
        <f t="shared" si="18"/>
        <v>872464.07280099951</v>
      </c>
      <c r="S75" s="685"/>
    </row>
    <row r="76" spans="1:19">
      <c r="A76" s="1069">
        <f t="shared" si="1"/>
        <v>62</v>
      </c>
      <c r="B76" s="685">
        <v>38000</v>
      </c>
      <c r="C76" s="4" t="s">
        <v>1072</v>
      </c>
      <c r="D76" s="448">
        <f>[3]Reserve!$AF128</f>
        <v>41469349.390848212</v>
      </c>
      <c r="E76" s="809">
        <v>0</v>
      </c>
      <c r="F76" s="809">
        <f t="shared" ref="F76:F105" si="19">D76-E76</f>
        <v>41469349.390848212</v>
      </c>
      <c r="G76" s="623">
        <f t="shared" si="15"/>
        <v>1</v>
      </c>
      <c r="H76" s="623">
        <f t="shared" si="15"/>
        <v>1</v>
      </c>
      <c r="I76" s="809">
        <f t="shared" si="16"/>
        <v>41469349.390848212</v>
      </c>
      <c r="J76" s="106"/>
      <c r="K76" s="448">
        <f>[3]Reserve!$D128</f>
        <v>41215363.434713893</v>
      </c>
      <c r="L76" s="624">
        <f t="shared" si="17"/>
        <v>1</v>
      </c>
      <c r="M76" s="624">
        <f t="shared" si="17"/>
        <v>1</v>
      </c>
      <c r="N76" s="390">
        <f t="shared" si="18"/>
        <v>41215363.434713893</v>
      </c>
      <c r="S76" s="685"/>
    </row>
    <row r="77" spans="1:19">
      <c r="A77" s="1069">
        <f t="shared" si="1"/>
        <v>63</v>
      </c>
      <c r="B77" s="685">
        <v>38100</v>
      </c>
      <c r="C77" s="4" t="s">
        <v>863</v>
      </c>
      <c r="D77" s="448">
        <f>[3]Reserve!$AF129</f>
        <v>18659965.967822582</v>
      </c>
      <c r="E77" s="809">
        <v>0</v>
      </c>
      <c r="F77" s="809">
        <f t="shared" si="19"/>
        <v>18659965.967822582</v>
      </c>
      <c r="G77" s="623">
        <f t="shared" si="15"/>
        <v>1</v>
      </c>
      <c r="H77" s="623">
        <f t="shared" si="15"/>
        <v>1</v>
      </c>
      <c r="I77" s="809">
        <f t="shared" si="16"/>
        <v>18659965.967822582</v>
      </c>
      <c r="J77" s="106"/>
      <c r="K77" s="448">
        <f>[3]Reserve!$D129</f>
        <v>17354749.489799816</v>
      </c>
      <c r="L77" s="624">
        <f t="shared" si="17"/>
        <v>1</v>
      </c>
      <c r="M77" s="624">
        <f t="shared" si="17"/>
        <v>1</v>
      </c>
      <c r="N77" s="390">
        <f t="shared" si="18"/>
        <v>17354749.489799816</v>
      </c>
      <c r="S77" s="685"/>
    </row>
    <row r="78" spans="1:19">
      <c r="A78" s="1069">
        <f t="shared" si="1"/>
        <v>64</v>
      </c>
      <c r="B78" s="685">
        <v>38200</v>
      </c>
      <c r="C78" s="4" t="s">
        <v>456</v>
      </c>
      <c r="D78" s="448">
        <f>[3]Reserve!$AF130</f>
        <v>23254505.520974264</v>
      </c>
      <c r="E78" s="809">
        <v>0</v>
      </c>
      <c r="F78" s="809">
        <f t="shared" si="19"/>
        <v>23254505.520974264</v>
      </c>
      <c r="G78" s="623">
        <f t="shared" si="15"/>
        <v>1</v>
      </c>
      <c r="H78" s="623">
        <f t="shared" si="15"/>
        <v>1</v>
      </c>
      <c r="I78" s="809">
        <f t="shared" si="16"/>
        <v>23254505.520974264</v>
      </c>
      <c r="J78" s="106"/>
      <c r="K78" s="448">
        <f>[3]Reserve!$D130</f>
        <v>22442436.168499127</v>
      </c>
      <c r="L78" s="624">
        <f t="shared" si="17"/>
        <v>1</v>
      </c>
      <c r="M78" s="624">
        <f t="shared" si="17"/>
        <v>1</v>
      </c>
      <c r="N78" s="390">
        <f t="shared" si="18"/>
        <v>22442436.168499127</v>
      </c>
      <c r="S78" s="685"/>
    </row>
    <row r="79" spans="1:19">
      <c r="A79" s="1069">
        <f t="shared" si="1"/>
        <v>65</v>
      </c>
      <c r="B79" s="685">
        <v>38300</v>
      </c>
      <c r="C79" s="4" t="s">
        <v>1073</v>
      </c>
      <c r="D79" s="448">
        <f>[3]Reserve!$AF131</f>
        <v>3531640.4864969696</v>
      </c>
      <c r="E79" s="809">
        <v>0</v>
      </c>
      <c r="F79" s="809">
        <f t="shared" si="19"/>
        <v>3531640.4864969696</v>
      </c>
      <c r="G79" s="623">
        <f t="shared" si="15"/>
        <v>1</v>
      </c>
      <c r="H79" s="623">
        <f t="shared" si="15"/>
        <v>1</v>
      </c>
      <c r="I79" s="809">
        <f t="shared" si="16"/>
        <v>3531640.4864969696</v>
      </c>
      <c r="J79" s="106"/>
      <c r="K79" s="448">
        <f>[3]Reserve!$D131</f>
        <v>3398848.2452533166</v>
      </c>
      <c r="L79" s="624">
        <f t="shared" si="17"/>
        <v>1</v>
      </c>
      <c r="M79" s="624">
        <f t="shared" si="17"/>
        <v>1</v>
      </c>
      <c r="N79" s="390">
        <f t="shared" si="18"/>
        <v>3398848.2452533166</v>
      </c>
      <c r="S79" s="685"/>
    </row>
    <row r="80" spans="1:19">
      <c r="A80" s="1069">
        <f t="shared" si="1"/>
        <v>66</v>
      </c>
      <c r="B80" s="685">
        <v>38400</v>
      </c>
      <c r="C80" s="4" t="s">
        <v>457</v>
      </c>
      <c r="D80" s="448">
        <f>[3]Reserve!$AF132</f>
        <v>78773.228390999924</v>
      </c>
      <c r="E80" s="809">
        <v>0</v>
      </c>
      <c r="F80" s="809">
        <f t="shared" si="19"/>
        <v>78773.228390999924</v>
      </c>
      <c r="G80" s="623">
        <f t="shared" si="15"/>
        <v>1</v>
      </c>
      <c r="H80" s="623">
        <f t="shared" si="15"/>
        <v>1</v>
      </c>
      <c r="I80" s="809">
        <f t="shared" si="16"/>
        <v>78773.228390999924</v>
      </c>
      <c r="J80" s="106"/>
      <c r="K80" s="448">
        <f>[3]Reserve!$D132</f>
        <v>76960.481160999945</v>
      </c>
      <c r="L80" s="624">
        <f t="shared" si="17"/>
        <v>1</v>
      </c>
      <c r="M80" s="624">
        <f t="shared" si="17"/>
        <v>1</v>
      </c>
      <c r="N80" s="390">
        <f t="shared" si="18"/>
        <v>76960.481160999945</v>
      </c>
      <c r="S80" s="685"/>
    </row>
    <row r="81" spans="1:19">
      <c r="A81" s="1069">
        <f t="shared" ref="A81:A145" si="20">A80+1</f>
        <v>67</v>
      </c>
      <c r="B81" s="685">
        <v>38500</v>
      </c>
      <c r="C81" s="4" t="s">
        <v>458</v>
      </c>
      <c r="D81" s="448">
        <f>[3]Reserve!$AF133</f>
        <v>2865662.5790506341</v>
      </c>
      <c r="E81" s="809">
        <v>0</v>
      </c>
      <c r="F81" s="809">
        <f t="shared" si="19"/>
        <v>2865662.5790506341</v>
      </c>
      <c r="G81" s="623">
        <f t="shared" si="15"/>
        <v>1</v>
      </c>
      <c r="H81" s="623">
        <f t="shared" si="15"/>
        <v>1</v>
      </c>
      <c r="I81" s="809">
        <f t="shared" si="16"/>
        <v>2865662.5790506341</v>
      </c>
      <c r="J81" s="106"/>
      <c r="K81" s="448">
        <f>[3]Reserve!$D133</f>
        <v>2791804.6332062902</v>
      </c>
      <c r="L81" s="624">
        <f t="shared" si="17"/>
        <v>1</v>
      </c>
      <c r="M81" s="624">
        <f t="shared" si="17"/>
        <v>1</v>
      </c>
      <c r="N81" s="390">
        <f t="shared" si="18"/>
        <v>2791804.6332062902</v>
      </c>
      <c r="S81" s="685"/>
    </row>
    <row r="82" spans="1:19">
      <c r="A82" s="1069">
        <f t="shared" si="20"/>
        <v>68</v>
      </c>
      <c r="B82" s="685"/>
      <c r="C82" s="4"/>
      <c r="D82" s="1147"/>
      <c r="E82" s="1147"/>
      <c r="F82" s="1147"/>
      <c r="G82" s="623"/>
      <c r="H82" s="623"/>
      <c r="I82" s="1147"/>
      <c r="J82" s="106"/>
      <c r="K82" s="1147"/>
      <c r="N82" s="792"/>
    </row>
    <row r="83" spans="1:19">
      <c r="A83" s="1069">
        <f t="shared" si="20"/>
        <v>69</v>
      </c>
      <c r="B83" s="685"/>
      <c r="C83" s="4" t="s">
        <v>1436</v>
      </c>
      <c r="D83" s="462">
        <f>SUM(D62:D82)</f>
        <v>147878782.32701147</v>
      </c>
      <c r="E83" s="462">
        <f>SUM(E62:E82)</f>
        <v>0</v>
      </c>
      <c r="F83" s="462">
        <f>SUM(F62:F82)</f>
        <v>147878782.32701147</v>
      </c>
      <c r="G83" s="623"/>
      <c r="H83" s="623"/>
      <c r="I83" s="462">
        <f>SUM(I62:I82)</f>
        <v>147878782.32701147</v>
      </c>
      <c r="J83" s="106"/>
      <c r="K83" s="462">
        <f>SUM(K62:K82)</f>
        <v>143535841.88094684</v>
      </c>
      <c r="N83" s="407">
        <f>SUM(N62:N82)</f>
        <v>143535841.88094684</v>
      </c>
    </row>
    <row r="84" spans="1:19">
      <c r="A84" s="1069">
        <f t="shared" si="20"/>
        <v>70</v>
      </c>
      <c r="B84" s="685"/>
      <c r="C84" s="4"/>
      <c r="D84" s="809"/>
      <c r="E84" s="809"/>
      <c r="F84" s="809"/>
      <c r="G84" s="623"/>
      <c r="H84" s="623"/>
      <c r="I84" s="809"/>
      <c r="J84" s="106"/>
      <c r="K84" s="809"/>
      <c r="N84" s="390"/>
    </row>
    <row r="85" spans="1:19">
      <c r="A85" s="1069">
        <f t="shared" si="20"/>
        <v>71</v>
      </c>
      <c r="B85" s="468"/>
      <c r="C85" s="17" t="s">
        <v>309</v>
      </c>
      <c r="D85" s="809"/>
      <c r="E85" s="809"/>
      <c r="F85" s="809"/>
      <c r="G85" s="623"/>
      <c r="H85" s="623"/>
      <c r="I85" s="809"/>
      <c r="J85" s="106"/>
      <c r="K85" s="809"/>
      <c r="N85" s="390"/>
    </row>
    <row r="86" spans="1:19">
      <c r="A86" s="1069">
        <f t="shared" si="20"/>
        <v>72</v>
      </c>
      <c r="B86" s="685">
        <v>38900</v>
      </c>
      <c r="C86" s="4" t="s">
        <v>1168</v>
      </c>
      <c r="D86" s="448">
        <f>[3]Reserve!$AF134</f>
        <v>0</v>
      </c>
      <c r="E86" s="462">
        <v>0</v>
      </c>
      <c r="F86" s="462">
        <f t="shared" si="19"/>
        <v>0</v>
      </c>
      <c r="G86" s="623">
        <f t="shared" ref="G86:H99" si="21">$G$16</f>
        <v>1</v>
      </c>
      <c r="H86" s="623">
        <f t="shared" si="21"/>
        <v>1</v>
      </c>
      <c r="I86" s="462">
        <f t="shared" ref="I86:I105" si="22">F86*G86*H86</f>
        <v>0</v>
      </c>
      <c r="J86" s="106"/>
      <c r="K86" s="448">
        <f>[3]Reserve!$D134</f>
        <v>0</v>
      </c>
      <c r="L86" s="624">
        <f t="shared" ref="L86:M99" si="23">$G$16</f>
        <v>1</v>
      </c>
      <c r="M86" s="624">
        <f t="shared" si="23"/>
        <v>1</v>
      </c>
      <c r="N86" s="407">
        <f t="shared" ref="N86:N105" si="24">K86*L86*M86</f>
        <v>0</v>
      </c>
      <c r="S86" s="685"/>
    </row>
    <row r="87" spans="1:19">
      <c r="A87" s="1069">
        <f t="shared" si="20"/>
        <v>73</v>
      </c>
      <c r="B87" s="685">
        <v>39000</v>
      </c>
      <c r="C87" s="4" t="s">
        <v>556</v>
      </c>
      <c r="D87" s="448">
        <f>[3]Reserve!$AF135</f>
        <v>289088.31282531878</v>
      </c>
      <c r="E87" s="809">
        <v>0</v>
      </c>
      <c r="F87" s="809">
        <f t="shared" si="19"/>
        <v>289088.31282531878</v>
      </c>
      <c r="G87" s="623">
        <f t="shared" si="21"/>
        <v>1</v>
      </c>
      <c r="H87" s="623">
        <f t="shared" si="21"/>
        <v>1</v>
      </c>
      <c r="I87" s="809">
        <f t="shared" si="22"/>
        <v>289088.31282531878</v>
      </c>
      <c r="J87" s="106"/>
      <c r="K87" s="448">
        <f>[3]Reserve!$D135</f>
        <v>189418.63594092827</v>
      </c>
      <c r="L87" s="624">
        <f t="shared" si="23"/>
        <v>1</v>
      </c>
      <c r="M87" s="624">
        <f t="shared" si="23"/>
        <v>1</v>
      </c>
      <c r="N87" s="390">
        <f t="shared" si="24"/>
        <v>189418.63594092827</v>
      </c>
      <c r="S87" s="685"/>
    </row>
    <row r="88" spans="1:19">
      <c r="A88" s="1069">
        <f t="shared" si="20"/>
        <v>74</v>
      </c>
      <c r="B88" s="685">
        <v>39002</v>
      </c>
      <c r="C88" s="4" t="s">
        <v>1017</v>
      </c>
      <c r="D88" s="448">
        <f>[3]Reserve!$AF136</f>
        <v>69559.120743749969</v>
      </c>
      <c r="E88" s="809">
        <v>0</v>
      </c>
      <c r="F88" s="809">
        <f t="shared" si="19"/>
        <v>69559.120743749969</v>
      </c>
      <c r="G88" s="623">
        <f t="shared" si="21"/>
        <v>1</v>
      </c>
      <c r="H88" s="623">
        <f t="shared" si="21"/>
        <v>1</v>
      </c>
      <c r="I88" s="809">
        <f t="shared" si="22"/>
        <v>69559.120743749969</v>
      </c>
      <c r="J88" s="106"/>
      <c r="K88" s="448">
        <f>[3]Reserve!$D136</f>
        <v>66304.561563749987</v>
      </c>
      <c r="L88" s="624">
        <f t="shared" si="23"/>
        <v>1</v>
      </c>
      <c r="M88" s="624">
        <f t="shared" si="23"/>
        <v>1</v>
      </c>
      <c r="N88" s="390">
        <f t="shared" si="24"/>
        <v>66304.561563749987</v>
      </c>
      <c r="S88" s="685"/>
    </row>
    <row r="89" spans="1:19">
      <c r="A89" s="1069">
        <f t="shared" si="20"/>
        <v>75</v>
      </c>
      <c r="B89" s="685">
        <v>39003</v>
      </c>
      <c r="C89" s="4" t="s">
        <v>459</v>
      </c>
      <c r="D89" s="448">
        <f>[3]Reserve!$AF137</f>
        <v>180016.43598250006</v>
      </c>
      <c r="E89" s="809">
        <v>0</v>
      </c>
      <c r="F89" s="809">
        <f t="shared" si="19"/>
        <v>180016.43598250006</v>
      </c>
      <c r="G89" s="623">
        <f t="shared" si="21"/>
        <v>1</v>
      </c>
      <c r="H89" s="623">
        <f t="shared" si="21"/>
        <v>1</v>
      </c>
      <c r="I89" s="809">
        <f t="shared" si="22"/>
        <v>180016.43598250006</v>
      </c>
      <c r="J89" s="106"/>
      <c r="K89" s="448">
        <f>[3]Reserve!$D137</f>
        <v>166683.49139850002</v>
      </c>
      <c r="L89" s="624">
        <f t="shared" si="23"/>
        <v>1</v>
      </c>
      <c r="M89" s="624">
        <f t="shared" si="23"/>
        <v>1</v>
      </c>
      <c r="N89" s="390">
        <f t="shared" si="24"/>
        <v>166683.49139850002</v>
      </c>
      <c r="S89" s="685"/>
    </row>
    <row r="90" spans="1:19">
      <c r="A90" s="1069">
        <f t="shared" si="20"/>
        <v>76</v>
      </c>
      <c r="B90" s="685">
        <v>39004</v>
      </c>
      <c r="C90" s="4" t="s">
        <v>1056</v>
      </c>
      <c r="D90" s="448">
        <f>[3]Reserve!$AF138</f>
        <v>2710.7156537500009</v>
      </c>
      <c r="E90" s="809">
        <v>0</v>
      </c>
      <c r="F90" s="809">
        <f t="shared" si="19"/>
        <v>2710.7156537500009</v>
      </c>
      <c r="G90" s="623">
        <f t="shared" si="21"/>
        <v>1</v>
      </c>
      <c r="H90" s="623">
        <f t="shared" si="21"/>
        <v>1</v>
      </c>
      <c r="I90" s="809">
        <f t="shared" si="22"/>
        <v>2710.7156537500009</v>
      </c>
      <c r="J90" s="106"/>
      <c r="K90" s="448">
        <f>[3]Reserve!$D138</f>
        <v>2570.4396417499997</v>
      </c>
      <c r="L90" s="624">
        <f t="shared" si="23"/>
        <v>1</v>
      </c>
      <c r="M90" s="624">
        <f t="shared" si="23"/>
        <v>1</v>
      </c>
      <c r="N90" s="390">
        <f t="shared" si="24"/>
        <v>2570.4396417499997</v>
      </c>
      <c r="S90" s="685"/>
    </row>
    <row r="91" spans="1:19">
      <c r="A91" s="1069">
        <f t="shared" si="20"/>
        <v>77</v>
      </c>
      <c r="B91" s="685">
        <v>39009</v>
      </c>
      <c r="C91" s="4" t="s">
        <v>796</v>
      </c>
      <c r="D91" s="448">
        <f>[3]Reserve!$AF139</f>
        <v>1024306.2870815003</v>
      </c>
      <c r="E91" s="809">
        <v>0</v>
      </c>
      <c r="F91" s="809">
        <f t="shared" si="19"/>
        <v>1024306.2870815003</v>
      </c>
      <c r="G91" s="623">
        <f t="shared" si="21"/>
        <v>1</v>
      </c>
      <c r="H91" s="623">
        <f t="shared" si="21"/>
        <v>1</v>
      </c>
      <c r="I91" s="809">
        <f t="shared" si="22"/>
        <v>1024306.2870815003</v>
      </c>
      <c r="J91" s="106"/>
      <c r="K91" s="448">
        <f>[3]Reserve!$D139</f>
        <v>907724.82154250005</v>
      </c>
      <c r="L91" s="624">
        <f t="shared" si="23"/>
        <v>1</v>
      </c>
      <c r="M91" s="624">
        <f t="shared" si="23"/>
        <v>1</v>
      </c>
      <c r="N91" s="390">
        <f t="shared" si="24"/>
        <v>907724.82154250005</v>
      </c>
      <c r="S91" s="685"/>
    </row>
    <row r="92" spans="1:19">
      <c r="A92" s="1069">
        <f t="shared" si="20"/>
        <v>78</v>
      </c>
      <c r="B92" s="685">
        <v>39100</v>
      </c>
      <c r="C92" s="4" t="s">
        <v>542</v>
      </c>
      <c r="D92" s="448">
        <f>[3]Reserve!$AF140</f>
        <v>750289.17115578603</v>
      </c>
      <c r="E92" s="809">
        <v>0</v>
      </c>
      <c r="F92" s="809">
        <f t="shared" si="19"/>
        <v>750289.17115578603</v>
      </c>
      <c r="G92" s="623">
        <f t="shared" si="21"/>
        <v>1</v>
      </c>
      <c r="H92" s="623">
        <f t="shared" si="21"/>
        <v>1</v>
      </c>
      <c r="I92" s="809">
        <f t="shared" si="22"/>
        <v>750289.17115578603</v>
      </c>
      <c r="J92" s="106"/>
      <c r="K92" s="448">
        <f>[3]Reserve!$D140</f>
        <v>684635.45574979717</v>
      </c>
      <c r="L92" s="624">
        <f t="shared" si="23"/>
        <v>1</v>
      </c>
      <c r="M92" s="624">
        <f t="shared" si="23"/>
        <v>1</v>
      </c>
      <c r="N92" s="390">
        <f t="shared" si="24"/>
        <v>684635.45574979717</v>
      </c>
      <c r="S92" s="685"/>
    </row>
    <row r="93" spans="1:19">
      <c r="A93" s="1069">
        <f t="shared" si="20"/>
        <v>79</v>
      </c>
      <c r="B93" s="685">
        <v>39200</v>
      </c>
      <c r="C93" s="4" t="s">
        <v>348</v>
      </c>
      <c r="D93" s="448">
        <f>[3]Reserve!$AF141</f>
        <v>203084.81188375011</v>
      </c>
      <c r="E93" s="809">
        <v>0</v>
      </c>
      <c r="F93" s="809">
        <f t="shared" si="19"/>
        <v>203084.81188375011</v>
      </c>
      <c r="G93" s="623">
        <f t="shared" si="21"/>
        <v>1</v>
      </c>
      <c r="H93" s="623">
        <f t="shared" si="21"/>
        <v>1</v>
      </c>
      <c r="I93" s="809">
        <f t="shared" si="22"/>
        <v>203084.81188375011</v>
      </c>
      <c r="J93" s="106"/>
      <c r="K93" s="448">
        <f>[3]Reserve!$D141</f>
        <v>175612.79664675007</v>
      </c>
      <c r="L93" s="624">
        <f t="shared" si="23"/>
        <v>1</v>
      </c>
      <c r="M93" s="624">
        <f t="shared" si="23"/>
        <v>1</v>
      </c>
      <c r="N93" s="390">
        <f t="shared" si="24"/>
        <v>175612.79664675007</v>
      </c>
      <c r="S93" s="685"/>
    </row>
    <row r="94" spans="1:19">
      <c r="A94" s="1069">
        <f t="shared" si="20"/>
        <v>80</v>
      </c>
      <c r="B94" s="685">
        <v>39202</v>
      </c>
      <c r="C94" s="4" t="s">
        <v>91</v>
      </c>
      <c r="D94" s="448">
        <f>[3]Reserve!$AF142</f>
        <v>31980.224776000006</v>
      </c>
      <c r="E94" s="809">
        <v>0</v>
      </c>
      <c r="F94" s="809">
        <f t="shared" si="19"/>
        <v>31980.224776000006</v>
      </c>
      <c r="G94" s="623">
        <f t="shared" si="21"/>
        <v>1</v>
      </c>
      <c r="H94" s="623">
        <f t="shared" si="21"/>
        <v>1</v>
      </c>
      <c r="I94" s="809">
        <f t="shared" si="22"/>
        <v>31980.224776000006</v>
      </c>
      <c r="J94" s="106"/>
      <c r="K94" s="448">
        <f>[3]Reserve!$D142</f>
        <v>30328.927253500002</v>
      </c>
      <c r="L94" s="624">
        <f t="shared" si="23"/>
        <v>1</v>
      </c>
      <c r="M94" s="624">
        <f t="shared" si="23"/>
        <v>1</v>
      </c>
      <c r="N94" s="390">
        <f t="shared" si="24"/>
        <v>30328.927253500002</v>
      </c>
      <c r="S94" s="685"/>
    </row>
    <row r="95" spans="1:19">
      <c r="A95" s="1069">
        <f t="shared" si="20"/>
        <v>81</v>
      </c>
      <c r="B95" s="685">
        <v>39400</v>
      </c>
      <c r="C95" s="4" t="s">
        <v>557</v>
      </c>
      <c r="D95" s="448">
        <f>[3]Reserve!$AF143</f>
        <v>694355.38037616992</v>
      </c>
      <c r="E95" s="809">
        <v>0</v>
      </c>
      <c r="F95" s="809">
        <f t="shared" si="19"/>
        <v>694355.38037616992</v>
      </c>
      <c r="G95" s="623">
        <f t="shared" si="21"/>
        <v>1</v>
      </c>
      <c r="H95" s="623">
        <f t="shared" si="21"/>
        <v>1</v>
      </c>
      <c r="I95" s="809">
        <f t="shared" si="22"/>
        <v>694355.38037616992</v>
      </c>
      <c r="J95" s="106"/>
      <c r="K95" s="448">
        <f>[3]Reserve!$D143</f>
        <v>619683.65379463276</v>
      </c>
      <c r="L95" s="624">
        <f t="shared" si="23"/>
        <v>1</v>
      </c>
      <c r="M95" s="624">
        <f t="shared" si="23"/>
        <v>1</v>
      </c>
      <c r="N95" s="390">
        <f t="shared" si="24"/>
        <v>619683.65379463276</v>
      </c>
      <c r="S95" s="685"/>
    </row>
    <row r="96" spans="1:19">
      <c r="A96" s="1069">
        <f t="shared" si="20"/>
        <v>82</v>
      </c>
      <c r="B96" s="468">
        <v>39603</v>
      </c>
      <c r="C96" s="4" t="s">
        <v>93</v>
      </c>
      <c r="D96" s="448">
        <f>[3]Reserve!$AF144</f>
        <v>37181.117188000026</v>
      </c>
      <c r="E96" s="809">
        <v>0</v>
      </c>
      <c r="F96" s="809">
        <f t="shared" si="19"/>
        <v>37181.117188000026</v>
      </c>
      <c r="G96" s="623">
        <f t="shared" si="21"/>
        <v>1</v>
      </c>
      <c r="H96" s="623">
        <f t="shared" si="21"/>
        <v>1</v>
      </c>
      <c r="I96" s="809">
        <f t="shared" si="22"/>
        <v>37181.117188000026</v>
      </c>
      <c r="J96" s="106"/>
      <c r="K96" s="448">
        <f>[3]Reserve!$D144</f>
        <v>32576.174032000014</v>
      </c>
      <c r="L96" s="624">
        <f t="shared" si="23"/>
        <v>1</v>
      </c>
      <c r="M96" s="624">
        <f t="shared" si="23"/>
        <v>1</v>
      </c>
      <c r="N96" s="390">
        <f t="shared" si="24"/>
        <v>32576.174032000014</v>
      </c>
      <c r="S96" s="685"/>
    </row>
    <row r="97" spans="1:19">
      <c r="A97" s="1069">
        <f t="shared" si="20"/>
        <v>83</v>
      </c>
      <c r="B97" s="468">
        <v>39604</v>
      </c>
      <c r="C97" s="1" t="s">
        <v>94</v>
      </c>
      <c r="D97" s="448">
        <f>[3]Reserve!$AF145</f>
        <v>54348.708199499953</v>
      </c>
      <c r="E97" s="809">
        <v>0</v>
      </c>
      <c r="F97" s="809">
        <f t="shared" si="19"/>
        <v>54348.708199499953</v>
      </c>
      <c r="G97" s="623">
        <f t="shared" si="21"/>
        <v>1</v>
      </c>
      <c r="H97" s="623">
        <f t="shared" si="21"/>
        <v>1</v>
      </c>
      <c r="I97" s="809">
        <f t="shared" si="22"/>
        <v>54348.708199499953</v>
      </c>
      <c r="J97" s="106"/>
      <c r="K97" s="448">
        <f>[3]Reserve!$D145</f>
        <v>48240.259517999963</v>
      </c>
      <c r="L97" s="624">
        <f t="shared" si="23"/>
        <v>1</v>
      </c>
      <c r="M97" s="624">
        <f t="shared" si="23"/>
        <v>1</v>
      </c>
      <c r="N97" s="390">
        <f t="shared" si="24"/>
        <v>48240.259517999963</v>
      </c>
      <c r="S97" s="685"/>
    </row>
    <row r="98" spans="1:19">
      <c r="A98" s="1069">
        <f t="shared" si="20"/>
        <v>84</v>
      </c>
      <c r="B98" s="468">
        <v>39605</v>
      </c>
      <c r="C98" s="4" t="s">
        <v>454</v>
      </c>
      <c r="D98" s="448">
        <f>[3]Reserve!$AF146</f>
        <v>25448.757107000012</v>
      </c>
      <c r="E98" s="809">
        <v>0</v>
      </c>
      <c r="F98" s="809">
        <f t="shared" si="19"/>
        <v>25448.757107000012</v>
      </c>
      <c r="G98" s="623">
        <f t="shared" si="21"/>
        <v>1</v>
      </c>
      <c r="H98" s="623">
        <f t="shared" si="21"/>
        <v>1</v>
      </c>
      <c r="I98" s="809">
        <f t="shared" si="22"/>
        <v>25448.757107000012</v>
      </c>
      <c r="J98" s="106"/>
      <c r="K98" s="448">
        <f>[3]Reserve!$D146</f>
        <v>22213.23834800001</v>
      </c>
      <c r="L98" s="624">
        <f t="shared" si="23"/>
        <v>1</v>
      </c>
      <c r="M98" s="624">
        <f t="shared" si="23"/>
        <v>1</v>
      </c>
      <c r="N98" s="390">
        <f t="shared" si="24"/>
        <v>22213.23834800001</v>
      </c>
      <c r="S98" s="685"/>
    </row>
    <row r="99" spans="1:19">
      <c r="A99" s="1069">
        <f t="shared" si="20"/>
        <v>85</v>
      </c>
      <c r="B99" s="468">
        <v>39700</v>
      </c>
      <c r="C99" s="4" t="s">
        <v>869</v>
      </c>
      <c r="D99" s="448">
        <f>[3]Reserve!$AF147</f>
        <v>157326.95427907369</v>
      </c>
      <c r="E99" s="809">
        <v>0</v>
      </c>
      <c r="F99" s="809">
        <f t="shared" si="19"/>
        <v>157326.95427907369</v>
      </c>
      <c r="G99" s="623">
        <f t="shared" si="21"/>
        <v>1</v>
      </c>
      <c r="H99" s="623">
        <f t="shared" si="21"/>
        <v>1</v>
      </c>
      <c r="I99" s="809">
        <f t="shared" si="22"/>
        <v>157326.95427907369</v>
      </c>
      <c r="J99" s="106"/>
      <c r="K99" s="448">
        <f>[3]Reserve!$D147</f>
        <v>143703.56691023239</v>
      </c>
      <c r="L99" s="624">
        <f t="shared" si="23"/>
        <v>1</v>
      </c>
      <c r="M99" s="624">
        <f t="shared" si="23"/>
        <v>1</v>
      </c>
      <c r="N99" s="390">
        <f t="shared" si="24"/>
        <v>143703.56691023239</v>
      </c>
      <c r="S99" s="685"/>
    </row>
    <row r="100" spans="1:19">
      <c r="A100" s="1069">
        <f t="shared" si="20"/>
        <v>86</v>
      </c>
      <c r="B100" s="468">
        <v>39705</v>
      </c>
      <c r="C100" s="4" t="s">
        <v>666</v>
      </c>
      <c r="D100" s="448">
        <f>[3]Reserve!$AF148</f>
        <v>-34902.689999999988</v>
      </c>
      <c r="E100" s="809">
        <v>0</v>
      </c>
      <c r="F100" s="809">
        <f t="shared" si="19"/>
        <v>-34902.689999999988</v>
      </c>
      <c r="G100" s="623">
        <f t="shared" ref="G100:H108" si="25">$G$16</f>
        <v>1</v>
      </c>
      <c r="H100" s="623">
        <f t="shared" si="25"/>
        <v>1</v>
      </c>
      <c r="I100" s="809">
        <f t="shared" si="22"/>
        <v>-34902.689999999988</v>
      </c>
      <c r="J100" s="106"/>
      <c r="K100" s="448">
        <f>[3]Reserve!$D148</f>
        <v>-34902.689999999995</v>
      </c>
      <c r="L100" s="624">
        <f t="shared" ref="L100:M108" si="26">$G$16</f>
        <v>1</v>
      </c>
      <c r="M100" s="624">
        <f t="shared" si="26"/>
        <v>1</v>
      </c>
      <c r="N100" s="390">
        <f t="shared" si="24"/>
        <v>-34902.689999999995</v>
      </c>
      <c r="S100" s="685"/>
    </row>
    <row r="101" spans="1:19">
      <c r="A101" s="1069">
        <f t="shared" si="20"/>
        <v>87</v>
      </c>
      <c r="B101" s="468">
        <v>39800</v>
      </c>
      <c r="C101" s="4" t="s">
        <v>1173</v>
      </c>
      <c r="D101" s="448">
        <f>[3]Reserve!$AF149</f>
        <v>1321481.8068243677</v>
      </c>
      <c r="E101" s="809">
        <v>0</v>
      </c>
      <c r="F101" s="809">
        <f t="shared" si="19"/>
        <v>1321481.8068243677</v>
      </c>
      <c r="G101" s="623">
        <f t="shared" si="25"/>
        <v>1</v>
      </c>
      <c r="H101" s="623">
        <f t="shared" si="25"/>
        <v>1</v>
      </c>
      <c r="I101" s="809">
        <f t="shared" si="22"/>
        <v>1321481.8068243677</v>
      </c>
      <c r="J101" s="106"/>
      <c r="K101" s="448">
        <f>[3]Reserve!$D149</f>
        <v>1212907.9313582554</v>
      </c>
      <c r="L101" s="624">
        <f t="shared" si="26"/>
        <v>1</v>
      </c>
      <c r="M101" s="624">
        <f t="shared" si="26"/>
        <v>1</v>
      </c>
      <c r="N101" s="390">
        <f t="shared" si="24"/>
        <v>1212907.9313582554</v>
      </c>
      <c r="S101" s="685"/>
    </row>
    <row r="102" spans="1:19">
      <c r="A102" s="1069">
        <f t="shared" si="20"/>
        <v>88</v>
      </c>
      <c r="B102" s="468">
        <v>39903</v>
      </c>
      <c r="C102" s="4" t="s">
        <v>1198</v>
      </c>
      <c r="D102" s="448">
        <f>[3]Reserve!$AF150</f>
        <v>26592.044910262779</v>
      </c>
      <c r="E102" s="809">
        <v>0</v>
      </c>
      <c r="F102" s="809">
        <f t="shared" si="19"/>
        <v>26592.044910262779</v>
      </c>
      <c r="G102" s="623">
        <f t="shared" si="25"/>
        <v>1</v>
      </c>
      <c r="H102" s="623">
        <f t="shared" si="25"/>
        <v>1</v>
      </c>
      <c r="I102" s="809">
        <f t="shared" si="22"/>
        <v>26592.044910262779</v>
      </c>
      <c r="J102" s="106"/>
      <c r="K102" s="448">
        <f>[3]Reserve!$D150</f>
        <v>21856.168357969618</v>
      </c>
      <c r="L102" s="624">
        <f t="shared" si="26"/>
        <v>1</v>
      </c>
      <c r="M102" s="624">
        <f t="shared" si="26"/>
        <v>1</v>
      </c>
      <c r="N102" s="390">
        <f t="shared" si="24"/>
        <v>21856.168357969618</v>
      </c>
      <c r="S102" s="685"/>
    </row>
    <row r="103" spans="1:19">
      <c r="A103" s="1069">
        <f t="shared" si="20"/>
        <v>89</v>
      </c>
      <c r="B103" s="468">
        <v>39906</v>
      </c>
      <c r="C103" s="4" t="s">
        <v>520</v>
      </c>
      <c r="D103" s="448">
        <f>[3]Reserve!$AF151</f>
        <v>609329.2246667092</v>
      </c>
      <c r="E103" s="809">
        <v>0</v>
      </c>
      <c r="F103" s="809">
        <f t="shared" si="19"/>
        <v>609329.2246667092</v>
      </c>
      <c r="G103" s="623">
        <f t="shared" si="25"/>
        <v>1</v>
      </c>
      <c r="H103" s="623">
        <f t="shared" si="25"/>
        <v>1</v>
      </c>
      <c r="I103" s="809">
        <f t="shared" si="22"/>
        <v>609329.2246667092</v>
      </c>
      <c r="J103" s="106"/>
      <c r="K103" s="448">
        <f>[3]Reserve!$D151</f>
        <v>488192.58602291509</v>
      </c>
      <c r="L103" s="624">
        <f t="shared" si="26"/>
        <v>1</v>
      </c>
      <c r="M103" s="624">
        <f t="shared" si="26"/>
        <v>1</v>
      </c>
      <c r="N103" s="390">
        <f t="shared" si="24"/>
        <v>488192.58602291509</v>
      </c>
      <c r="S103" s="685"/>
    </row>
    <row r="104" spans="1:19" ht="15" customHeight="1">
      <c r="A104" s="1069">
        <f t="shared" si="20"/>
        <v>90</v>
      </c>
      <c r="B104" s="468">
        <v>39907</v>
      </c>
      <c r="C104" s="4" t="s">
        <v>184</v>
      </c>
      <c r="D104" s="448">
        <f>[3]Reserve!$AF152</f>
        <v>13751.77</v>
      </c>
      <c r="E104" s="809">
        <v>0</v>
      </c>
      <c r="F104" s="809">
        <f t="shared" si="19"/>
        <v>13751.77</v>
      </c>
      <c r="G104" s="623">
        <f t="shared" si="25"/>
        <v>1</v>
      </c>
      <c r="H104" s="623">
        <f t="shared" si="25"/>
        <v>1</v>
      </c>
      <c r="I104" s="809">
        <f t="shared" si="22"/>
        <v>13751.77</v>
      </c>
      <c r="J104" s="106"/>
      <c r="K104" s="448">
        <f>[3]Reserve!$D152</f>
        <v>13751.769999999999</v>
      </c>
      <c r="L104" s="624">
        <f t="shared" si="26"/>
        <v>1</v>
      </c>
      <c r="M104" s="624">
        <f t="shared" si="26"/>
        <v>1</v>
      </c>
      <c r="N104" s="390">
        <f t="shared" si="24"/>
        <v>13751.769999999999</v>
      </c>
      <c r="S104" s="685"/>
    </row>
    <row r="105" spans="1:19">
      <c r="A105" s="1069">
        <f t="shared" si="20"/>
        <v>91</v>
      </c>
      <c r="B105" s="468">
        <v>39908</v>
      </c>
      <c r="C105" s="4" t="s">
        <v>352</v>
      </c>
      <c r="D105" s="448">
        <f>[3]Reserve!$AF153</f>
        <v>123514.83</v>
      </c>
      <c r="E105" s="809">
        <v>0</v>
      </c>
      <c r="F105" s="809">
        <f t="shared" si="19"/>
        <v>123514.83</v>
      </c>
      <c r="G105" s="623">
        <f t="shared" si="25"/>
        <v>1</v>
      </c>
      <c r="H105" s="623">
        <f t="shared" si="25"/>
        <v>1</v>
      </c>
      <c r="I105" s="809">
        <f t="shared" si="22"/>
        <v>123514.83</v>
      </c>
      <c r="J105" s="106"/>
      <c r="K105" s="448">
        <f>[3]Reserve!$D153</f>
        <v>123514.83000000002</v>
      </c>
      <c r="L105" s="624">
        <f t="shared" si="26"/>
        <v>1</v>
      </c>
      <c r="M105" s="624">
        <f t="shared" si="26"/>
        <v>1</v>
      </c>
      <c r="N105" s="390">
        <f t="shared" si="24"/>
        <v>123514.83000000002</v>
      </c>
      <c r="S105" s="685"/>
    </row>
    <row r="106" spans="1:19" ht="15" customHeight="1">
      <c r="A106" s="1069">
        <f t="shared" si="20"/>
        <v>92</v>
      </c>
      <c r="B106" s="468"/>
      <c r="C106" s="4" t="s">
        <v>1164</v>
      </c>
      <c r="D106" s="448">
        <f>[3]Reserve!$AF154</f>
        <v>-6935473.1199999982</v>
      </c>
      <c r="E106" s="809">
        <v>0</v>
      </c>
      <c r="F106" s="809">
        <f>D106-E106</f>
        <v>-6935473.1199999982</v>
      </c>
      <c r="G106" s="623">
        <f t="shared" si="25"/>
        <v>1</v>
      </c>
      <c r="H106" s="623">
        <f t="shared" si="25"/>
        <v>1</v>
      </c>
      <c r="I106" s="809">
        <f>F106*G106*H106</f>
        <v>-6935473.1199999982</v>
      </c>
      <c r="J106" s="106"/>
      <c r="K106" s="448">
        <f>[3]Reserve!$D154</f>
        <v>-6935473.1200000001</v>
      </c>
      <c r="L106" s="624">
        <f t="shared" si="26"/>
        <v>1</v>
      </c>
      <c r="M106" s="624">
        <f t="shared" si="26"/>
        <v>1</v>
      </c>
      <c r="N106" s="390">
        <f>K106*L106*M106</f>
        <v>-6935473.1200000001</v>
      </c>
    </row>
    <row r="107" spans="1:19" s="1058" customFormat="1" ht="15" customHeight="1">
      <c r="A107" s="1075"/>
      <c r="B107" s="1061"/>
      <c r="C107" s="4" t="s">
        <v>1493</v>
      </c>
      <c r="D107" s="448">
        <f>[3]Reserve!$AF155</f>
        <v>-8.1854523159563541E-12</v>
      </c>
      <c r="E107" s="809">
        <v>0</v>
      </c>
      <c r="F107" s="809">
        <f>D107-E107</f>
        <v>-8.1854523159563541E-12</v>
      </c>
      <c r="G107" s="623">
        <f t="shared" si="25"/>
        <v>1</v>
      </c>
      <c r="H107" s="623">
        <f t="shared" si="25"/>
        <v>1</v>
      </c>
      <c r="I107" s="809">
        <f>F107*G107*H107</f>
        <v>-8.1854523159563541E-12</v>
      </c>
      <c r="J107" s="106"/>
      <c r="K107" s="448">
        <f>[3]Reserve!$D155</f>
        <v>-8.1854523159563541E-12</v>
      </c>
      <c r="L107" s="624">
        <f t="shared" si="26"/>
        <v>1</v>
      </c>
      <c r="M107" s="624">
        <f t="shared" si="26"/>
        <v>1</v>
      </c>
      <c r="N107" s="390">
        <f t="shared" ref="N107:N108" si="27">K107*L107*M107</f>
        <v>-8.1854523159563541E-12</v>
      </c>
    </row>
    <row r="108" spans="1:19">
      <c r="A108" s="1069">
        <f>A106+1</f>
        <v>93</v>
      </c>
      <c r="B108" s="468"/>
      <c r="C108" s="115" t="s">
        <v>1293</v>
      </c>
      <c r="D108" s="448">
        <f>[3]Reserve!$AF156</f>
        <v>868655.46000000031</v>
      </c>
      <c r="E108" s="809">
        <v>0</v>
      </c>
      <c r="F108" s="809">
        <f t="shared" ref="F108" si="28">D108-E108</f>
        <v>868655.46000000031</v>
      </c>
      <c r="G108" s="623">
        <f t="shared" si="25"/>
        <v>1</v>
      </c>
      <c r="H108" s="623">
        <f t="shared" si="25"/>
        <v>1</v>
      </c>
      <c r="I108" s="809">
        <f t="shared" ref="I108" si="29">F108*G108*H108</f>
        <v>868655.46000000031</v>
      </c>
      <c r="J108" s="106"/>
      <c r="K108" s="448">
        <f>[3]Reserve!$D156</f>
        <v>588054.66</v>
      </c>
      <c r="L108" s="624">
        <f t="shared" si="26"/>
        <v>1</v>
      </c>
      <c r="M108" s="624">
        <f t="shared" si="26"/>
        <v>1</v>
      </c>
      <c r="N108" s="390">
        <f t="shared" si="27"/>
        <v>588054.66</v>
      </c>
      <c r="S108" s="685"/>
    </row>
    <row r="109" spans="1:19" ht="15" customHeight="1">
      <c r="A109" s="1069">
        <f t="shared" si="20"/>
        <v>94</v>
      </c>
      <c r="B109" s="468"/>
      <c r="C109" s="4"/>
      <c r="D109" s="1147"/>
      <c r="E109" s="1147"/>
      <c r="F109" s="1147"/>
      <c r="G109" s="1131"/>
      <c r="H109" s="1131"/>
      <c r="I109" s="1147"/>
      <c r="J109" s="106"/>
      <c r="K109" s="1147"/>
      <c r="N109" s="792"/>
    </row>
    <row r="110" spans="1:19">
      <c r="A110" s="1069">
        <f t="shared" si="20"/>
        <v>95</v>
      </c>
      <c r="B110" s="468"/>
      <c r="C110" s="4" t="s">
        <v>1435</v>
      </c>
      <c r="D110" s="462">
        <f>SUM(D86:D109)</f>
        <v>-487354.67634656059</v>
      </c>
      <c r="E110" s="462">
        <f>SUM(E86:E109)</f>
        <v>0</v>
      </c>
      <c r="F110" s="462">
        <f>SUM(F86:F109)</f>
        <v>-487354.67634656059</v>
      </c>
      <c r="G110" s="1131"/>
      <c r="H110" s="1131"/>
      <c r="I110" s="462">
        <f>SUM(I86:I109)</f>
        <v>-487354.67634656059</v>
      </c>
      <c r="J110" s="106"/>
      <c r="K110" s="462">
        <f>SUM(K86:K109)</f>
        <v>-1432401.8419205192</v>
      </c>
      <c r="N110" s="407">
        <f>SUM(N86:N109)</f>
        <v>-1432401.8419205192</v>
      </c>
    </row>
    <row r="111" spans="1:19">
      <c r="A111" s="1069">
        <f t="shared" si="20"/>
        <v>96</v>
      </c>
      <c r="B111" s="468"/>
      <c r="C111" s="4"/>
      <c r="D111" s="809"/>
      <c r="E111" s="809"/>
      <c r="F111" s="809"/>
      <c r="G111" s="1131"/>
      <c r="H111" s="1131"/>
      <c r="I111" s="809"/>
      <c r="J111" s="106"/>
      <c r="K111" s="809"/>
      <c r="N111" s="390"/>
    </row>
    <row r="112" spans="1:19">
      <c r="A112" s="1069">
        <f t="shared" si="20"/>
        <v>97</v>
      </c>
      <c r="B112" s="510"/>
      <c r="C112" s="247" t="s">
        <v>1368</v>
      </c>
      <c r="D112" s="462">
        <f>D110+D83+D59+D47+D26+D19</f>
        <v>173692459.36929014</v>
      </c>
      <c r="E112" s="462">
        <f>E110+E83+E59+E47+E26+E19</f>
        <v>0</v>
      </c>
      <c r="F112" s="462">
        <f>F110+F83+F59+F47+F26+F19</f>
        <v>173692459.36929014</v>
      </c>
      <c r="G112" s="1131"/>
      <c r="H112" s="1131"/>
      <c r="I112" s="462">
        <f>I110+I83+I59+I47+I26+I19</f>
        <v>173692459.36929014</v>
      </c>
      <c r="J112" s="106"/>
      <c r="K112" s="462">
        <f>K110+K83+K59+K47+K26+K19</f>
        <v>167963071.07713354</v>
      </c>
      <c r="N112" s="407">
        <f>N110+N83+N59+N47+N26+N19</f>
        <v>167963071.07713354</v>
      </c>
      <c r="P112" s="1058"/>
      <c r="Q112" s="1058"/>
      <c r="R112" s="771"/>
      <c r="S112" s="771"/>
    </row>
    <row r="113" spans="1:17">
      <c r="A113" s="1069">
        <f t="shared" si="20"/>
        <v>98</v>
      </c>
      <c r="B113" s="510"/>
      <c r="C113" s="4"/>
      <c r="D113" s="809"/>
      <c r="E113" s="106"/>
      <c r="F113" s="106"/>
      <c r="G113" s="1131"/>
      <c r="H113" s="1131"/>
      <c r="I113" s="106"/>
      <c r="J113" s="106"/>
      <c r="K113" s="106"/>
      <c r="P113" s="106"/>
      <c r="Q113" s="106"/>
    </row>
    <row r="114" spans="1:17">
      <c r="A114" s="1069">
        <f t="shared" si="20"/>
        <v>99</v>
      </c>
      <c r="B114" s="511"/>
      <c r="C114" s="107"/>
      <c r="D114" s="809"/>
      <c r="E114" s="106"/>
      <c r="F114" s="106"/>
      <c r="G114" s="1131"/>
      <c r="H114" s="1131"/>
      <c r="I114" s="106"/>
      <c r="J114" s="106"/>
      <c r="K114" s="106"/>
    </row>
    <row r="115" spans="1:17">
      <c r="A115" s="1069">
        <f t="shared" si="20"/>
        <v>100</v>
      </c>
      <c r="B115" s="406"/>
      <c r="D115" s="809"/>
      <c r="E115" s="106"/>
      <c r="F115" s="106"/>
      <c r="G115" s="1131"/>
      <c r="H115" s="1131"/>
      <c r="I115" s="106"/>
      <c r="J115" s="106"/>
      <c r="K115" s="106"/>
    </row>
    <row r="116" spans="1:17" ht="15.75">
      <c r="A116" s="1069">
        <f t="shared" si="20"/>
        <v>101</v>
      </c>
      <c r="B116" s="419" t="s">
        <v>7</v>
      </c>
      <c r="D116" s="809"/>
      <c r="E116" s="106"/>
      <c r="F116" s="106"/>
      <c r="G116" s="1131"/>
      <c r="H116" s="1131"/>
      <c r="I116" s="106"/>
      <c r="J116" s="106"/>
      <c r="K116" s="106"/>
    </row>
    <row r="117" spans="1:17">
      <c r="A117" s="1069">
        <f t="shared" si="20"/>
        <v>102</v>
      </c>
      <c r="B117" s="406"/>
      <c r="D117" s="809"/>
      <c r="E117" s="106"/>
      <c r="F117" s="106"/>
      <c r="G117" s="1131"/>
      <c r="H117" s="1131"/>
      <c r="I117" s="106"/>
      <c r="J117" s="106"/>
      <c r="K117" s="106"/>
    </row>
    <row r="118" spans="1:17">
      <c r="A118" s="1069">
        <f t="shared" si="20"/>
        <v>103</v>
      </c>
      <c r="B118" s="510"/>
      <c r="C118" s="17" t="s">
        <v>305</v>
      </c>
      <c r="D118" s="809"/>
      <c r="E118" s="106"/>
      <c r="F118" s="106"/>
      <c r="G118" s="1131"/>
      <c r="H118" s="1131"/>
      <c r="I118" s="106"/>
      <c r="J118" s="106"/>
      <c r="K118" s="106"/>
    </row>
    <row r="119" spans="1:17">
      <c r="A119" s="1069">
        <f t="shared" si="20"/>
        <v>104</v>
      </c>
      <c r="B119" s="685">
        <v>30100</v>
      </c>
      <c r="C119" s="4" t="s">
        <v>299</v>
      </c>
      <c r="D119" s="448">
        <v>0</v>
      </c>
      <c r="E119" s="448">
        <v>0</v>
      </c>
      <c r="F119" s="448">
        <f>D119+E119</f>
        <v>0</v>
      </c>
      <c r="G119" s="623">
        <f>$G$16</f>
        <v>1</v>
      </c>
      <c r="H119" s="625">
        <f>Allocation!$D$17</f>
        <v>0.49090457251500325</v>
      </c>
      <c r="I119" s="448">
        <f>F119*G119*H119</f>
        <v>0</v>
      </c>
      <c r="J119" s="106"/>
      <c r="K119" s="448">
        <v>0</v>
      </c>
      <c r="L119" s="624">
        <f t="shared" ref="L119:M120" si="30">G119</f>
        <v>1</v>
      </c>
      <c r="M119" s="558">
        <f t="shared" si="30"/>
        <v>0.49090457251500325</v>
      </c>
      <c r="N119" s="385">
        <f>K119*L119*M119</f>
        <v>0</v>
      </c>
    </row>
    <row r="120" spans="1:17">
      <c r="A120" s="1069">
        <f t="shared" si="20"/>
        <v>105</v>
      </c>
      <c r="B120" s="685">
        <v>30300</v>
      </c>
      <c r="C120" s="4" t="s">
        <v>558</v>
      </c>
      <c r="D120" s="1144">
        <v>0</v>
      </c>
      <c r="E120" s="1144">
        <v>0</v>
      </c>
      <c r="F120" s="1144">
        <f>D120+E120</f>
        <v>0</v>
      </c>
      <c r="G120" s="623">
        <f>$G$16</f>
        <v>1</v>
      </c>
      <c r="H120" s="625">
        <f>$H$119</f>
        <v>0.49090457251500325</v>
      </c>
      <c r="I120" s="1144">
        <f>F120*G120*H120</f>
        <v>0</v>
      </c>
      <c r="J120" s="106"/>
      <c r="K120" s="1144">
        <v>0</v>
      </c>
      <c r="L120" s="624">
        <f t="shared" si="30"/>
        <v>1</v>
      </c>
      <c r="M120" s="558">
        <f t="shared" si="30"/>
        <v>0.49090457251500325</v>
      </c>
      <c r="N120" s="395">
        <f>K120*L120*M120</f>
        <v>0</v>
      </c>
    </row>
    <row r="121" spans="1:17">
      <c r="A121" s="1069">
        <f t="shared" si="20"/>
        <v>106</v>
      </c>
      <c r="B121" s="685"/>
      <c r="C121" s="4"/>
      <c r="D121" s="812"/>
      <c r="E121" s="812"/>
      <c r="F121" s="812"/>
      <c r="G121" s="1131"/>
      <c r="H121" s="1131"/>
      <c r="I121" s="106"/>
      <c r="J121" s="106"/>
      <c r="K121" s="106"/>
    </row>
    <row r="122" spans="1:17">
      <c r="A122" s="1069">
        <f t="shared" si="20"/>
        <v>107</v>
      </c>
      <c r="B122" s="468"/>
      <c r="C122" s="4" t="s">
        <v>306</v>
      </c>
      <c r="D122" s="448">
        <f>SUM(D119:D121)</f>
        <v>0</v>
      </c>
      <c r="E122" s="448">
        <f>SUM(E119:E121)</f>
        <v>0</v>
      </c>
      <c r="F122" s="448">
        <f>SUM(F119:F121)</f>
        <v>0</v>
      </c>
      <c r="G122" s="623"/>
      <c r="H122" s="623"/>
      <c r="I122" s="448">
        <f>SUM(I119:I121)</f>
        <v>0</v>
      </c>
      <c r="J122" s="106"/>
      <c r="K122" s="448">
        <f>SUM(K119:K121)</f>
        <v>0</v>
      </c>
      <c r="N122" s="385">
        <f>SUM(N119:N121)</f>
        <v>0</v>
      </c>
    </row>
    <row r="123" spans="1:17">
      <c r="A123" s="1069">
        <f t="shared" si="20"/>
        <v>108</v>
      </c>
      <c r="B123" s="687"/>
      <c r="D123" s="106"/>
      <c r="E123" s="106"/>
      <c r="F123" s="106"/>
      <c r="G123" s="1131"/>
      <c r="H123" s="1131"/>
      <c r="I123" s="106"/>
      <c r="J123" s="106"/>
      <c r="K123" s="106"/>
    </row>
    <row r="124" spans="1:17">
      <c r="A124" s="1069">
        <f t="shared" si="20"/>
        <v>109</v>
      </c>
      <c r="B124" s="468"/>
      <c r="C124" s="17" t="s">
        <v>307</v>
      </c>
      <c r="D124" s="106"/>
      <c r="E124" s="106"/>
      <c r="F124" s="106"/>
      <c r="G124" s="1131"/>
      <c r="H124" s="1131"/>
      <c r="I124" s="106"/>
      <c r="J124" s="106"/>
      <c r="K124" s="106"/>
    </row>
    <row r="125" spans="1:17">
      <c r="A125" s="1069">
        <f t="shared" si="20"/>
        <v>110</v>
      </c>
      <c r="B125" s="685">
        <v>37400</v>
      </c>
      <c r="C125" s="4" t="s">
        <v>1168</v>
      </c>
      <c r="D125" s="448">
        <v>0</v>
      </c>
      <c r="E125" s="448">
        <v>0</v>
      </c>
      <c r="F125" s="448">
        <f t="shared" ref="F125:F145" si="31">D125+E125</f>
        <v>0</v>
      </c>
      <c r="G125" s="623">
        <f t="shared" ref="G125:G145" si="32">$G$16</f>
        <v>1</v>
      </c>
      <c r="H125" s="625">
        <f t="shared" ref="H125:H145" si="33">$H$119</f>
        <v>0.49090457251500325</v>
      </c>
      <c r="I125" s="448">
        <f t="shared" ref="I125:I145" si="34">F125*G125*H125</f>
        <v>0</v>
      </c>
      <c r="J125" s="106"/>
      <c r="K125" s="448">
        <v>0</v>
      </c>
      <c r="L125" s="624">
        <f t="shared" ref="L125:M145" si="35">G125</f>
        <v>1</v>
      </c>
      <c r="M125" s="625">
        <f t="shared" si="35"/>
        <v>0.49090457251500325</v>
      </c>
      <c r="N125" s="385">
        <f t="shared" ref="N125:N145" si="36">K125*L125*M125</f>
        <v>0</v>
      </c>
    </row>
    <row r="126" spans="1:17">
      <c r="A126" s="1069">
        <f t="shared" si="20"/>
        <v>111</v>
      </c>
      <c r="B126" s="685">
        <v>35010</v>
      </c>
      <c r="C126" s="4" t="s">
        <v>300</v>
      </c>
      <c r="D126" s="581">
        <v>0</v>
      </c>
      <c r="E126" s="581">
        <v>0</v>
      </c>
      <c r="F126" s="581">
        <f t="shared" si="31"/>
        <v>0</v>
      </c>
      <c r="G126" s="623">
        <f t="shared" si="32"/>
        <v>1</v>
      </c>
      <c r="H126" s="625">
        <f t="shared" si="33"/>
        <v>0.49090457251500325</v>
      </c>
      <c r="I126" s="581">
        <f t="shared" si="34"/>
        <v>0</v>
      </c>
      <c r="J126" s="106"/>
      <c r="K126" s="581">
        <v>0</v>
      </c>
      <c r="L126" s="624">
        <f t="shared" si="35"/>
        <v>1</v>
      </c>
      <c r="M126" s="625">
        <f t="shared" si="35"/>
        <v>0.49090457251500325</v>
      </c>
      <c r="N126" s="394">
        <f t="shared" si="36"/>
        <v>0</v>
      </c>
    </row>
    <row r="127" spans="1:17">
      <c r="A127" s="1069">
        <f t="shared" si="20"/>
        <v>112</v>
      </c>
      <c r="B127" s="685">
        <v>37402</v>
      </c>
      <c r="C127" s="4" t="s">
        <v>1018</v>
      </c>
      <c r="D127" s="581">
        <v>0</v>
      </c>
      <c r="E127" s="581">
        <v>0</v>
      </c>
      <c r="F127" s="581">
        <f t="shared" si="31"/>
        <v>0</v>
      </c>
      <c r="G127" s="623">
        <f t="shared" si="32"/>
        <v>1</v>
      </c>
      <c r="H127" s="625">
        <f t="shared" si="33"/>
        <v>0.49090457251500325</v>
      </c>
      <c r="I127" s="581">
        <f t="shared" si="34"/>
        <v>0</v>
      </c>
      <c r="J127" s="106"/>
      <c r="K127" s="581">
        <v>0</v>
      </c>
      <c r="L127" s="624">
        <f t="shared" si="35"/>
        <v>1</v>
      </c>
      <c r="M127" s="625">
        <f t="shared" si="35"/>
        <v>0.49090457251500325</v>
      </c>
      <c r="N127" s="394">
        <f t="shared" si="36"/>
        <v>0</v>
      </c>
    </row>
    <row r="128" spans="1:17">
      <c r="A128" s="1069">
        <f t="shared" si="20"/>
        <v>113</v>
      </c>
      <c r="B128" s="685">
        <v>37403</v>
      </c>
      <c r="C128" s="4" t="s">
        <v>1015</v>
      </c>
      <c r="D128" s="581">
        <v>0</v>
      </c>
      <c r="E128" s="581">
        <v>0</v>
      </c>
      <c r="F128" s="581">
        <f t="shared" si="31"/>
        <v>0</v>
      </c>
      <c r="G128" s="623">
        <f t="shared" si="32"/>
        <v>1</v>
      </c>
      <c r="H128" s="625">
        <f t="shared" si="33"/>
        <v>0.49090457251500325</v>
      </c>
      <c r="I128" s="581">
        <f t="shared" si="34"/>
        <v>0</v>
      </c>
      <c r="J128" s="106"/>
      <c r="K128" s="581">
        <v>0</v>
      </c>
      <c r="L128" s="624">
        <f t="shared" si="35"/>
        <v>1</v>
      </c>
      <c r="M128" s="625">
        <f t="shared" si="35"/>
        <v>0.49090457251500325</v>
      </c>
      <c r="N128" s="394">
        <f t="shared" si="36"/>
        <v>0</v>
      </c>
    </row>
    <row r="129" spans="1:14">
      <c r="A129" s="1069">
        <f t="shared" si="20"/>
        <v>114</v>
      </c>
      <c r="B129" s="685">
        <v>36602</v>
      </c>
      <c r="C129" s="4" t="s">
        <v>874</v>
      </c>
      <c r="D129" s="581">
        <v>0</v>
      </c>
      <c r="E129" s="581">
        <v>0</v>
      </c>
      <c r="F129" s="581">
        <f t="shared" si="31"/>
        <v>0</v>
      </c>
      <c r="G129" s="623">
        <f t="shared" si="32"/>
        <v>1</v>
      </c>
      <c r="H129" s="625">
        <f t="shared" si="33"/>
        <v>0.49090457251500325</v>
      </c>
      <c r="I129" s="581">
        <f t="shared" si="34"/>
        <v>0</v>
      </c>
      <c r="J129" s="106"/>
      <c r="K129" s="581">
        <v>0</v>
      </c>
      <c r="L129" s="624">
        <f t="shared" si="35"/>
        <v>1</v>
      </c>
      <c r="M129" s="625">
        <f t="shared" si="35"/>
        <v>0.49090457251500325</v>
      </c>
      <c r="N129" s="394">
        <f t="shared" si="36"/>
        <v>0</v>
      </c>
    </row>
    <row r="130" spans="1:14">
      <c r="A130" s="1069">
        <f t="shared" si="20"/>
        <v>115</v>
      </c>
      <c r="B130" s="685">
        <v>37501</v>
      </c>
      <c r="C130" s="4" t="s">
        <v>1016</v>
      </c>
      <c r="D130" s="581">
        <v>0</v>
      </c>
      <c r="E130" s="581">
        <v>0</v>
      </c>
      <c r="F130" s="581">
        <f t="shared" si="31"/>
        <v>0</v>
      </c>
      <c r="G130" s="623">
        <f t="shared" si="32"/>
        <v>1</v>
      </c>
      <c r="H130" s="625">
        <f t="shared" si="33"/>
        <v>0.49090457251500325</v>
      </c>
      <c r="I130" s="581">
        <f t="shared" si="34"/>
        <v>0</v>
      </c>
      <c r="J130" s="106"/>
      <c r="K130" s="581">
        <v>0</v>
      </c>
      <c r="L130" s="624">
        <f t="shared" si="35"/>
        <v>1</v>
      </c>
      <c r="M130" s="625">
        <f t="shared" si="35"/>
        <v>0.49090457251500325</v>
      </c>
      <c r="N130" s="394">
        <f t="shared" si="36"/>
        <v>0</v>
      </c>
    </row>
    <row r="131" spans="1:14">
      <c r="A131" s="1069">
        <f t="shared" si="20"/>
        <v>116</v>
      </c>
      <c r="B131" s="685">
        <v>37402</v>
      </c>
      <c r="C131" s="4" t="s">
        <v>1018</v>
      </c>
      <c r="D131" s="581">
        <v>0</v>
      </c>
      <c r="E131" s="581">
        <v>0</v>
      </c>
      <c r="F131" s="581">
        <f t="shared" si="31"/>
        <v>0</v>
      </c>
      <c r="G131" s="623">
        <f t="shared" si="32"/>
        <v>1</v>
      </c>
      <c r="H131" s="625">
        <f t="shared" si="33"/>
        <v>0.49090457251500325</v>
      </c>
      <c r="I131" s="581">
        <f t="shared" si="34"/>
        <v>0</v>
      </c>
      <c r="J131" s="106"/>
      <c r="K131" s="581">
        <v>0</v>
      </c>
      <c r="L131" s="624">
        <f t="shared" si="35"/>
        <v>1</v>
      </c>
      <c r="M131" s="625">
        <f t="shared" si="35"/>
        <v>0.49090457251500325</v>
      </c>
      <c r="N131" s="394">
        <f t="shared" si="36"/>
        <v>0</v>
      </c>
    </row>
    <row r="132" spans="1:14">
      <c r="A132" s="1069">
        <f t="shared" si="20"/>
        <v>117</v>
      </c>
      <c r="B132" s="685">
        <v>37503</v>
      </c>
      <c r="C132" s="4" t="s">
        <v>1017</v>
      </c>
      <c r="D132" s="581">
        <v>0</v>
      </c>
      <c r="E132" s="581">
        <v>0</v>
      </c>
      <c r="F132" s="581">
        <f t="shared" si="31"/>
        <v>0</v>
      </c>
      <c r="G132" s="623">
        <f t="shared" si="32"/>
        <v>1</v>
      </c>
      <c r="H132" s="625">
        <f t="shared" si="33"/>
        <v>0.49090457251500325</v>
      </c>
      <c r="I132" s="581">
        <f t="shared" si="34"/>
        <v>0</v>
      </c>
      <c r="J132" s="106"/>
      <c r="K132" s="581">
        <v>0</v>
      </c>
      <c r="L132" s="624">
        <f t="shared" si="35"/>
        <v>1</v>
      </c>
      <c r="M132" s="625">
        <f t="shared" si="35"/>
        <v>0.49090457251500325</v>
      </c>
      <c r="N132" s="394">
        <f t="shared" si="36"/>
        <v>0</v>
      </c>
    </row>
    <row r="133" spans="1:14">
      <c r="A133" s="1069">
        <f t="shared" si="20"/>
        <v>118</v>
      </c>
      <c r="B133" s="685">
        <v>36700</v>
      </c>
      <c r="C133" s="4" t="s">
        <v>861</v>
      </c>
      <c r="D133" s="581">
        <v>0</v>
      </c>
      <c r="E133" s="581">
        <v>0</v>
      </c>
      <c r="F133" s="581">
        <f t="shared" si="31"/>
        <v>0</v>
      </c>
      <c r="G133" s="623">
        <f t="shared" si="32"/>
        <v>1</v>
      </c>
      <c r="H133" s="625">
        <f t="shared" si="33"/>
        <v>0.49090457251500325</v>
      </c>
      <c r="I133" s="581">
        <f t="shared" si="34"/>
        <v>0</v>
      </c>
      <c r="J133" s="106"/>
      <c r="K133" s="581">
        <v>0</v>
      </c>
      <c r="L133" s="624">
        <f t="shared" si="35"/>
        <v>1</v>
      </c>
      <c r="M133" s="625">
        <f t="shared" si="35"/>
        <v>0.49090457251500325</v>
      </c>
      <c r="N133" s="394">
        <f t="shared" si="36"/>
        <v>0</v>
      </c>
    </row>
    <row r="134" spans="1:14">
      <c r="A134" s="1069">
        <f t="shared" si="20"/>
        <v>119</v>
      </c>
      <c r="B134" s="685">
        <v>36701</v>
      </c>
      <c r="C134" s="4" t="s">
        <v>16</v>
      </c>
      <c r="D134" s="581">
        <v>0</v>
      </c>
      <c r="E134" s="581">
        <v>0</v>
      </c>
      <c r="F134" s="581">
        <f t="shared" si="31"/>
        <v>0</v>
      </c>
      <c r="G134" s="623">
        <f t="shared" si="32"/>
        <v>1</v>
      </c>
      <c r="H134" s="625">
        <f t="shared" si="33"/>
        <v>0.49090457251500325</v>
      </c>
      <c r="I134" s="581">
        <f t="shared" si="34"/>
        <v>0</v>
      </c>
      <c r="J134" s="106"/>
      <c r="K134" s="581">
        <v>0</v>
      </c>
      <c r="L134" s="624">
        <f t="shared" si="35"/>
        <v>1</v>
      </c>
      <c r="M134" s="625">
        <f t="shared" si="35"/>
        <v>0.49090457251500325</v>
      </c>
      <c r="N134" s="394">
        <f t="shared" si="36"/>
        <v>0</v>
      </c>
    </row>
    <row r="135" spans="1:14">
      <c r="A135" s="1069">
        <f t="shared" si="20"/>
        <v>120</v>
      </c>
      <c r="B135" s="685">
        <v>37602</v>
      </c>
      <c r="C135" s="4" t="s">
        <v>862</v>
      </c>
      <c r="D135" s="581">
        <v>0</v>
      </c>
      <c r="E135" s="581">
        <v>0</v>
      </c>
      <c r="F135" s="581">
        <f t="shared" si="31"/>
        <v>0</v>
      </c>
      <c r="G135" s="623">
        <f t="shared" si="32"/>
        <v>1</v>
      </c>
      <c r="H135" s="625">
        <f t="shared" si="33"/>
        <v>0.49090457251500325</v>
      </c>
      <c r="I135" s="581">
        <f t="shared" si="34"/>
        <v>0</v>
      </c>
      <c r="J135" s="106"/>
      <c r="K135" s="581">
        <v>0</v>
      </c>
      <c r="L135" s="624">
        <f t="shared" si="35"/>
        <v>1</v>
      </c>
      <c r="M135" s="625">
        <f t="shared" si="35"/>
        <v>0.49090457251500325</v>
      </c>
      <c r="N135" s="394">
        <f t="shared" si="36"/>
        <v>0</v>
      </c>
    </row>
    <row r="136" spans="1:14">
      <c r="A136" s="1069">
        <f t="shared" si="20"/>
        <v>121</v>
      </c>
      <c r="B136" s="685">
        <v>37800</v>
      </c>
      <c r="C136" s="4" t="s">
        <v>234</v>
      </c>
      <c r="D136" s="581">
        <v>0</v>
      </c>
      <c r="E136" s="581">
        <v>0</v>
      </c>
      <c r="F136" s="581">
        <f t="shared" si="31"/>
        <v>0</v>
      </c>
      <c r="G136" s="623">
        <f t="shared" si="32"/>
        <v>1</v>
      </c>
      <c r="H136" s="625">
        <f t="shared" si="33"/>
        <v>0.49090457251500325</v>
      </c>
      <c r="I136" s="581">
        <f t="shared" si="34"/>
        <v>0</v>
      </c>
      <c r="J136" s="106"/>
      <c r="K136" s="581">
        <v>0</v>
      </c>
      <c r="L136" s="624">
        <f t="shared" si="35"/>
        <v>1</v>
      </c>
      <c r="M136" s="625">
        <f t="shared" si="35"/>
        <v>0.49090457251500325</v>
      </c>
      <c r="N136" s="394">
        <f t="shared" si="36"/>
        <v>0</v>
      </c>
    </row>
    <row r="137" spans="1:14">
      <c r="A137" s="1069">
        <f t="shared" si="20"/>
        <v>122</v>
      </c>
      <c r="B137" s="685">
        <v>37900</v>
      </c>
      <c r="C137" s="4" t="s">
        <v>1211</v>
      </c>
      <c r="D137" s="581">
        <v>0</v>
      </c>
      <c r="E137" s="581">
        <v>0</v>
      </c>
      <c r="F137" s="581">
        <f t="shared" si="31"/>
        <v>0</v>
      </c>
      <c r="G137" s="623">
        <f t="shared" si="32"/>
        <v>1</v>
      </c>
      <c r="H137" s="625">
        <f t="shared" si="33"/>
        <v>0.49090457251500325</v>
      </c>
      <c r="I137" s="581">
        <f t="shared" si="34"/>
        <v>0</v>
      </c>
      <c r="J137" s="106"/>
      <c r="K137" s="581">
        <v>0</v>
      </c>
      <c r="L137" s="624">
        <f t="shared" si="35"/>
        <v>1</v>
      </c>
      <c r="M137" s="625">
        <f t="shared" si="35"/>
        <v>0.49090457251500325</v>
      </c>
      <c r="N137" s="394">
        <f t="shared" si="36"/>
        <v>0</v>
      </c>
    </row>
    <row r="138" spans="1:14">
      <c r="A138" s="1069">
        <f t="shared" si="20"/>
        <v>123</v>
      </c>
      <c r="B138" s="685">
        <v>37905</v>
      </c>
      <c r="C138" s="4" t="s">
        <v>742</v>
      </c>
      <c r="D138" s="581">
        <v>0</v>
      </c>
      <c r="E138" s="581">
        <v>0</v>
      </c>
      <c r="F138" s="581">
        <f t="shared" si="31"/>
        <v>0</v>
      </c>
      <c r="G138" s="623">
        <f t="shared" si="32"/>
        <v>1</v>
      </c>
      <c r="H138" s="625">
        <f t="shared" si="33"/>
        <v>0.49090457251500325</v>
      </c>
      <c r="I138" s="581">
        <f t="shared" si="34"/>
        <v>0</v>
      </c>
      <c r="J138" s="106"/>
      <c r="K138" s="581">
        <v>0</v>
      </c>
      <c r="L138" s="624">
        <f t="shared" si="35"/>
        <v>1</v>
      </c>
      <c r="M138" s="625">
        <f t="shared" si="35"/>
        <v>0.49090457251500325</v>
      </c>
      <c r="N138" s="394">
        <f t="shared" si="36"/>
        <v>0</v>
      </c>
    </row>
    <row r="139" spans="1:14">
      <c r="A139" s="1069">
        <f t="shared" si="20"/>
        <v>124</v>
      </c>
      <c r="B139" s="685">
        <v>38000</v>
      </c>
      <c r="C139" s="4" t="s">
        <v>1072</v>
      </c>
      <c r="D139" s="581">
        <v>0</v>
      </c>
      <c r="E139" s="581">
        <v>0</v>
      </c>
      <c r="F139" s="581">
        <f t="shared" si="31"/>
        <v>0</v>
      </c>
      <c r="G139" s="623">
        <f t="shared" si="32"/>
        <v>1</v>
      </c>
      <c r="H139" s="625">
        <f t="shared" si="33"/>
        <v>0.49090457251500325</v>
      </c>
      <c r="I139" s="581">
        <f t="shared" si="34"/>
        <v>0</v>
      </c>
      <c r="J139" s="106"/>
      <c r="K139" s="581">
        <v>0</v>
      </c>
      <c r="L139" s="624">
        <f t="shared" si="35"/>
        <v>1</v>
      </c>
      <c r="M139" s="625">
        <f t="shared" si="35"/>
        <v>0.49090457251500325</v>
      </c>
      <c r="N139" s="394">
        <f t="shared" si="36"/>
        <v>0</v>
      </c>
    </row>
    <row r="140" spans="1:14">
      <c r="A140" s="1069">
        <f t="shared" si="20"/>
        <v>125</v>
      </c>
      <c r="B140" s="685">
        <v>38100</v>
      </c>
      <c r="C140" s="4" t="s">
        <v>863</v>
      </c>
      <c r="D140" s="581">
        <v>0</v>
      </c>
      <c r="E140" s="581">
        <v>0</v>
      </c>
      <c r="F140" s="581">
        <f t="shared" si="31"/>
        <v>0</v>
      </c>
      <c r="G140" s="623">
        <f t="shared" si="32"/>
        <v>1</v>
      </c>
      <c r="H140" s="625">
        <f t="shared" si="33"/>
        <v>0.49090457251500325</v>
      </c>
      <c r="I140" s="581">
        <f t="shared" si="34"/>
        <v>0</v>
      </c>
      <c r="J140" s="106"/>
      <c r="K140" s="581">
        <v>0</v>
      </c>
      <c r="L140" s="624">
        <f t="shared" si="35"/>
        <v>1</v>
      </c>
      <c r="M140" s="625">
        <f t="shared" si="35"/>
        <v>0.49090457251500325</v>
      </c>
      <c r="N140" s="394">
        <f t="shared" si="36"/>
        <v>0</v>
      </c>
    </row>
    <row r="141" spans="1:14">
      <c r="A141" s="1069">
        <f t="shared" si="20"/>
        <v>126</v>
      </c>
      <c r="B141" s="685">
        <v>38200</v>
      </c>
      <c r="C141" s="4" t="s">
        <v>456</v>
      </c>
      <c r="D141" s="581">
        <v>0</v>
      </c>
      <c r="E141" s="581">
        <v>0</v>
      </c>
      <c r="F141" s="581">
        <f t="shared" si="31"/>
        <v>0</v>
      </c>
      <c r="G141" s="623">
        <f t="shared" si="32"/>
        <v>1</v>
      </c>
      <c r="H141" s="625">
        <f t="shared" si="33"/>
        <v>0.49090457251500325</v>
      </c>
      <c r="I141" s="581">
        <f t="shared" si="34"/>
        <v>0</v>
      </c>
      <c r="J141" s="106"/>
      <c r="K141" s="581">
        <v>0</v>
      </c>
      <c r="L141" s="624">
        <f t="shared" si="35"/>
        <v>1</v>
      </c>
      <c r="M141" s="625">
        <f t="shared" si="35"/>
        <v>0.49090457251500325</v>
      </c>
      <c r="N141" s="394">
        <f t="shared" si="36"/>
        <v>0</v>
      </c>
    </row>
    <row r="142" spans="1:14">
      <c r="A142" s="1069">
        <f t="shared" si="20"/>
        <v>127</v>
      </c>
      <c r="B142" s="685">
        <v>38300</v>
      </c>
      <c r="C142" s="4" t="s">
        <v>1073</v>
      </c>
      <c r="D142" s="581">
        <v>0</v>
      </c>
      <c r="E142" s="581">
        <v>0</v>
      </c>
      <c r="F142" s="581">
        <f t="shared" si="31"/>
        <v>0</v>
      </c>
      <c r="G142" s="623">
        <f t="shared" si="32"/>
        <v>1</v>
      </c>
      <c r="H142" s="625">
        <f t="shared" si="33"/>
        <v>0.49090457251500325</v>
      </c>
      <c r="I142" s="581">
        <f t="shared" si="34"/>
        <v>0</v>
      </c>
      <c r="J142" s="106"/>
      <c r="K142" s="581">
        <v>0</v>
      </c>
      <c r="L142" s="624">
        <f t="shared" si="35"/>
        <v>1</v>
      </c>
      <c r="M142" s="625">
        <f t="shared" si="35"/>
        <v>0.49090457251500325</v>
      </c>
      <c r="N142" s="394">
        <f t="shared" si="36"/>
        <v>0</v>
      </c>
    </row>
    <row r="143" spans="1:14">
      <c r="A143" s="1069">
        <f t="shared" si="20"/>
        <v>128</v>
      </c>
      <c r="B143" s="685">
        <v>38400</v>
      </c>
      <c r="C143" s="4" t="s">
        <v>457</v>
      </c>
      <c r="D143" s="581">
        <v>0</v>
      </c>
      <c r="E143" s="581">
        <v>0</v>
      </c>
      <c r="F143" s="581">
        <f t="shared" si="31"/>
        <v>0</v>
      </c>
      <c r="G143" s="623">
        <f t="shared" si="32"/>
        <v>1</v>
      </c>
      <c r="H143" s="625">
        <f t="shared" si="33"/>
        <v>0.49090457251500325</v>
      </c>
      <c r="I143" s="581">
        <f t="shared" si="34"/>
        <v>0</v>
      </c>
      <c r="J143" s="106"/>
      <c r="K143" s="581">
        <v>0</v>
      </c>
      <c r="L143" s="624">
        <f t="shared" si="35"/>
        <v>1</v>
      </c>
      <c r="M143" s="625">
        <f t="shared" si="35"/>
        <v>0.49090457251500325</v>
      </c>
      <c r="N143" s="394">
        <f t="shared" si="36"/>
        <v>0</v>
      </c>
    </row>
    <row r="144" spans="1:14">
      <c r="A144" s="1069">
        <f t="shared" si="20"/>
        <v>129</v>
      </c>
      <c r="B144" s="685">
        <v>38500</v>
      </c>
      <c r="C144" s="4" t="s">
        <v>458</v>
      </c>
      <c r="D144" s="581">
        <v>0</v>
      </c>
      <c r="E144" s="581">
        <v>0</v>
      </c>
      <c r="F144" s="581">
        <f t="shared" si="31"/>
        <v>0</v>
      </c>
      <c r="G144" s="623">
        <f t="shared" si="32"/>
        <v>1</v>
      </c>
      <c r="H144" s="625">
        <f t="shared" si="33"/>
        <v>0.49090457251500325</v>
      </c>
      <c r="I144" s="581">
        <f t="shared" si="34"/>
        <v>0</v>
      </c>
      <c r="J144" s="106"/>
      <c r="K144" s="581">
        <v>0</v>
      </c>
      <c r="L144" s="624">
        <f t="shared" si="35"/>
        <v>1</v>
      </c>
      <c r="M144" s="625">
        <f t="shared" si="35"/>
        <v>0.49090457251500325</v>
      </c>
      <c r="N144" s="394">
        <f t="shared" si="36"/>
        <v>0</v>
      </c>
    </row>
    <row r="145" spans="1:20">
      <c r="A145" s="1069">
        <f t="shared" si="20"/>
        <v>130</v>
      </c>
      <c r="B145" s="685">
        <v>38600</v>
      </c>
      <c r="C145" s="4" t="s">
        <v>111</v>
      </c>
      <c r="D145" s="1144">
        <v>0</v>
      </c>
      <c r="E145" s="1144">
        <v>0</v>
      </c>
      <c r="F145" s="1144">
        <f t="shared" si="31"/>
        <v>0</v>
      </c>
      <c r="G145" s="623">
        <f t="shared" si="32"/>
        <v>1</v>
      </c>
      <c r="H145" s="625">
        <f t="shared" si="33"/>
        <v>0.49090457251500325</v>
      </c>
      <c r="I145" s="1144">
        <f t="shared" si="34"/>
        <v>0</v>
      </c>
      <c r="J145" s="106"/>
      <c r="K145" s="1144">
        <v>0</v>
      </c>
      <c r="L145" s="624">
        <f t="shared" si="35"/>
        <v>1</v>
      </c>
      <c r="M145" s="625">
        <f t="shared" si="35"/>
        <v>0.49090457251500325</v>
      </c>
      <c r="N145" s="395">
        <f t="shared" si="36"/>
        <v>0</v>
      </c>
    </row>
    <row r="146" spans="1:20" ht="15" customHeight="1">
      <c r="A146" s="1069">
        <f t="shared" ref="A146:A209" si="37">A145+1</f>
        <v>131</v>
      </c>
      <c r="B146" s="685"/>
      <c r="C146" s="4"/>
      <c r="D146" s="812"/>
      <c r="E146" s="812"/>
      <c r="F146" s="812"/>
      <c r="G146" s="1131"/>
      <c r="H146" s="1131"/>
      <c r="I146" s="106"/>
      <c r="J146" s="106"/>
      <c r="K146" s="106"/>
      <c r="M146" s="625"/>
    </row>
    <row r="147" spans="1:20" ht="15" customHeight="1">
      <c r="A147" s="1069">
        <f t="shared" si="37"/>
        <v>132</v>
      </c>
      <c r="B147" s="685"/>
      <c r="C147" s="4" t="s">
        <v>308</v>
      </c>
      <c r="D147" s="448">
        <f>SUM(D125:D146)</f>
        <v>0</v>
      </c>
      <c r="E147" s="448">
        <f>SUM(E125:E146)</f>
        <v>0</v>
      </c>
      <c r="F147" s="448">
        <f>SUM(F125:F146)</f>
        <v>0</v>
      </c>
      <c r="G147" s="1131"/>
      <c r="H147" s="1131"/>
      <c r="I147" s="448">
        <f>SUM(I125:I146)</f>
        <v>0</v>
      </c>
      <c r="J147" s="106"/>
      <c r="K147" s="448">
        <f>SUM(K125:K146)</f>
        <v>0</v>
      </c>
      <c r="M147" s="625"/>
      <c r="N147" s="385">
        <f>SUM(N125:N146)</f>
        <v>0</v>
      </c>
    </row>
    <row r="148" spans="1:20">
      <c r="A148" s="1069">
        <f t="shared" si="37"/>
        <v>133</v>
      </c>
      <c r="B148" s="685"/>
      <c r="C148" s="4"/>
      <c r="D148" s="106"/>
      <c r="E148" s="106"/>
      <c r="F148" s="106"/>
      <c r="G148" s="1131"/>
      <c r="H148" s="1131"/>
      <c r="I148" s="106"/>
      <c r="J148" s="106"/>
      <c r="K148" s="106"/>
      <c r="M148" s="625"/>
    </row>
    <row r="149" spans="1:20">
      <c r="A149" s="1069">
        <f t="shared" si="37"/>
        <v>134</v>
      </c>
      <c r="B149" s="468"/>
      <c r="C149" s="17" t="s">
        <v>309</v>
      </c>
      <c r="D149" s="106"/>
      <c r="E149" s="106"/>
      <c r="F149" s="106"/>
      <c r="G149" s="1131"/>
      <c r="H149" s="1131"/>
      <c r="I149" s="106"/>
      <c r="J149" s="106"/>
      <c r="K149" s="106"/>
      <c r="M149" s="625"/>
    </row>
    <row r="150" spans="1:20">
      <c r="A150" s="1069">
        <f t="shared" si="37"/>
        <v>135</v>
      </c>
      <c r="B150" s="685">
        <v>39001</v>
      </c>
      <c r="C150" s="4" t="s">
        <v>556</v>
      </c>
      <c r="D150" s="448">
        <f>[3]Reserve!$AF63</f>
        <v>94895.274092999985</v>
      </c>
      <c r="E150" s="448">
        <v>0</v>
      </c>
      <c r="F150" s="448">
        <f t="shared" ref="F150:F165" si="38">D150+E150</f>
        <v>94895.274092999985</v>
      </c>
      <c r="G150" s="625">
        <f t="shared" ref="G150:G166" si="39">$G$16</f>
        <v>1</v>
      </c>
      <c r="H150" s="625">
        <f t="shared" ref="H150:H166" si="40">$H$119</f>
        <v>0.49090457251500325</v>
      </c>
      <c r="I150" s="448">
        <f t="shared" ref="I150:I166" si="41">F150*G150*H150</f>
        <v>46584.523962318221</v>
      </c>
      <c r="J150" s="106"/>
      <c r="K150" s="448">
        <f>[3]Reserve!$D63</f>
        <v>92492.137924999988</v>
      </c>
      <c r="L150" s="558">
        <f t="shared" ref="L150:M165" si="42">G150</f>
        <v>1</v>
      </c>
      <c r="M150" s="558">
        <f t="shared" si="42"/>
        <v>0.49090457251500325</v>
      </c>
      <c r="N150" s="385">
        <f t="shared" ref="N150:N166" si="43">K150*L150*M150</f>
        <v>45404.81342907084</v>
      </c>
      <c r="S150" s="625"/>
      <c r="T150" s="625"/>
    </row>
    <row r="151" spans="1:20">
      <c r="A151" s="1069">
        <f t="shared" si="37"/>
        <v>136</v>
      </c>
      <c r="B151" s="685">
        <v>39004</v>
      </c>
      <c r="C151" s="4" t="s">
        <v>459</v>
      </c>
      <c r="D151" s="448">
        <f>[3]Reserve!$AF64</f>
        <v>6348.1</v>
      </c>
      <c r="E151" s="581">
        <v>0</v>
      </c>
      <c r="F151" s="581">
        <f t="shared" si="38"/>
        <v>6348.1</v>
      </c>
      <c r="G151" s="623">
        <f t="shared" si="39"/>
        <v>1</v>
      </c>
      <c r="H151" s="625">
        <f t="shared" si="40"/>
        <v>0.49090457251500325</v>
      </c>
      <c r="I151" s="581">
        <f t="shared" si="41"/>
        <v>3116.3113167824922</v>
      </c>
      <c r="J151" s="106"/>
      <c r="K151" s="448">
        <f>[3]Reserve!$D64</f>
        <v>6348.1</v>
      </c>
      <c r="L151" s="624">
        <f t="shared" si="42"/>
        <v>1</v>
      </c>
      <c r="M151" s="625">
        <f t="shared" si="42"/>
        <v>0.49090457251500325</v>
      </c>
      <c r="N151" s="394">
        <f t="shared" si="43"/>
        <v>3116.3113167824922</v>
      </c>
      <c r="S151" s="625"/>
      <c r="T151" s="625"/>
    </row>
    <row r="152" spans="1:20">
      <c r="A152" s="1069">
        <f t="shared" si="37"/>
        <v>137</v>
      </c>
      <c r="B152" s="685">
        <v>39009</v>
      </c>
      <c r="C152" s="4" t="s">
        <v>1056</v>
      </c>
      <c r="D152" s="448">
        <f>[3]Reserve!$AF65</f>
        <v>46493.750000000007</v>
      </c>
      <c r="E152" s="581">
        <v>0</v>
      </c>
      <c r="F152" s="581">
        <f t="shared" si="38"/>
        <v>46493.750000000007</v>
      </c>
      <c r="G152" s="623">
        <f t="shared" si="39"/>
        <v>1</v>
      </c>
      <c r="H152" s="625">
        <f t="shared" si="40"/>
        <v>0.49090457251500325</v>
      </c>
      <c r="I152" s="581">
        <f t="shared" si="41"/>
        <v>22823.994468369438</v>
      </c>
      <c r="J152" s="106"/>
      <c r="K152" s="448">
        <f>[3]Reserve!$D65</f>
        <v>42002.548076923078</v>
      </c>
      <c r="L152" s="624">
        <f t="shared" si="42"/>
        <v>1</v>
      </c>
      <c r="M152" s="625">
        <f t="shared" si="42"/>
        <v>0.49090457251500325</v>
      </c>
      <c r="N152" s="394">
        <f t="shared" si="43"/>
        <v>20619.242908242795</v>
      </c>
      <c r="S152" s="625"/>
      <c r="T152" s="625"/>
    </row>
    <row r="153" spans="1:20">
      <c r="A153" s="1069">
        <f t="shared" si="37"/>
        <v>138</v>
      </c>
      <c r="B153" s="685">
        <v>39100</v>
      </c>
      <c r="C153" s="4" t="s">
        <v>796</v>
      </c>
      <c r="D153" s="448">
        <f>[3]Reserve!$AF66</f>
        <v>42781.421333333339</v>
      </c>
      <c r="E153" s="581">
        <v>0</v>
      </c>
      <c r="F153" s="581">
        <f t="shared" si="38"/>
        <v>42781.421333333339</v>
      </c>
      <c r="G153" s="623">
        <f t="shared" si="39"/>
        <v>1</v>
      </c>
      <c r="H153" s="625">
        <f t="shared" si="40"/>
        <v>0.49090457251500325</v>
      </c>
      <c r="I153" s="581">
        <f t="shared" si="41"/>
        <v>21001.595351224241</v>
      </c>
      <c r="J153" s="106"/>
      <c r="K153" s="448">
        <f>[3]Reserve!$D66</f>
        <v>42398.639615384629</v>
      </c>
      <c r="L153" s="624">
        <f t="shared" si="42"/>
        <v>1</v>
      </c>
      <c r="M153" s="625">
        <f t="shared" si="42"/>
        <v>0.49090457251500325</v>
      </c>
      <c r="N153" s="394">
        <f t="shared" si="43"/>
        <v>20813.686055608072</v>
      </c>
      <c r="S153" s="625"/>
      <c r="T153" s="625"/>
    </row>
    <row r="154" spans="1:20">
      <c r="A154" s="1069">
        <f t="shared" si="37"/>
        <v>139</v>
      </c>
      <c r="B154" s="685">
        <v>39200</v>
      </c>
      <c r="C154" s="4" t="s">
        <v>1096</v>
      </c>
      <c r="D154" s="448">
        <f>[3]Reserve!$AF67</f>
        <v>4109.7972422499988</v>
      </c>
      <c r="E154" s="581">
        <v>0</v>
      </c>
      <c r="F154" s="581">
        <f t="shared" si="38"/>
        <v>4109.7972422499988</v>
      </c>
      <c r="G154" s="623">
        <f t="shared" si="39"/>
        <v>1</v>
      </c>
      <c r="H154" s="625">
        <f t="shared" si="40"/>
        <v>0.49090457251500325</v>
      </c>
      <c r="I154" s="581">
        <f t="shared" si="41"/>
        <v>2017.518258330075</v>
      </c>
      <c r="J154" s="106"/>
      <c r="K154" s="448">
        <f>[3]Reserve!$D67</f>
        <v>4109.7972422500006</v>
      </c>
      <c r="L154" s="624">
        <f t="shared" si="42"/>
        <v>1</v>
      </c>
      <c r="M154" s="625">
        <f t="shared" si="42"/>
        <v>0.49090457251500325</v>
      </c>
      <c r="N154" s="394">
        <f t="shared" si="43"/>
        <v>2017.5182583300757</v>
      </c>
      <c r="S154" s="625"/>
      <c r="T154" s="625"/>
    </row>
    <row r="155" spans="1:20">
      <c r="A155" s="1069">
        <f t="shared" si="37"/>
        <v>140</v>
      </c>
      <c r="B155" s="685">
        <v>39400</v>
      </c>
      <c r="C155" s="4" t="s">
        <v>1055</v>
      </c>
      <c r="D155" s="448">
        <f>[3]Reserve!$AF68</f>
        <v>146208.87857600008</v>
      </c>
      <c r="E155" s="581">
        <v>0</v>
      </c>
      <c r="F155" s="581">
        <f t="shared" si="38"/>
        <v>146208.87857600008</v>
      </c>
      <c r="G155" s="623">
        <f t="shared" si="39"/>
        <v>1</v>
      </c>
      <c r="H155" s="625">
        <f t="shared" si="40"/>
        <v>0.49090457251500325</v>
      </c>
      <c r="I155" s="581">
        <f t="shared" si="41"/>
        <v>71774.607035249341</v>
      </c>
      <c r="J155" s="106"/>
      <c r="K155" s="448">
        <f>[3]Reserve!$D68</f>
        <v>143425.85175600008</v>
      </c>
      <c r="L155" s="624">
        <f t="shared" si="42"/>
        <v>1</v>
      </c>
      <c r="M155" s="625">
        <f t="shared" si="42"/>
        <v>0.49090457251500325</v>
      </c>
      <c r="N155" s="394">
        <f t="shared" si="43"/>
        <v>70408.406443879445</v>
      </c>
      <c r="S155" s="625"/>
      <c r="T155" s="625"/>
    </row>
    <row r="156" spans="1:20">
      <c r="A156" s="1069">
        <f t="shared" si="37"/>
        <v>141</v>
      </c>
      <c r="B156" s="685">
        <v>39600</v>
      </c>
      <c r="C156" s="4" t="s">
        <v>557</v>
      </c>
      <c r="D156" s="448">
        <f>[3]Reserve!$AF69</f>
        <v>5888.573710749999</v>
      </c>
      <c r="E156" s="581">
        <v>0</v>
      </c>
      <c r="F156" s="581">
        <f t="shared" si="38"/>
        <v>5888.573710749999</v>
      </c>
      <c r="G156" s="623">
        <f t="shared" si="39"/>
        <v>1</v>
      </c>
      <c r="H156" s="625">
        <f t="shared" si="40"/>
        <v>0.49090457251500325</v>
      </c>
      <c r="I156" s="581">
        <f t="shared" si="41"/>
        <v>2890.7277601988148</v>
      </c>
      <c r="J156" s="106"/>
      <c r="K156" s="448">
        <f>[3]Reserve!$D69</f>
        <v>5647.9634047500012</v>
      </c>
      <c r="L156" s="624">
        <f t="shared" si="42"/>
        <v>1</v>
      </c>
      <c r="M156" s="625">
        <f t="shared" si="42"/>
        <v>0.49090457251500325</v>
      </c>
      <c r="N156" s="394">
        <f t="shared" si="43"/>
        <v>2772.6110607891815</v>
      </c>
      <c r="S156" s="625"/>
      <c r="T156" s="625"/>
    </row>
    <row r="157" spans="1:20">
      <c r="A157" s="1069">
        <f t="shared" si="37"/>
        <v>142</v>
      </c>
      <c r="B157" s="468">
        <v>39700</v>
      </c>
      <c r="C157" s="4" t="s">
        <v>454</v>
      </c>
      <c r="D157" s="448">
        <f>[3]Reserve!$AF70</f>
        <v>226068.91461100007</v>
      </c>
      <c r="E157" s="581">
        <v>0</v>
      </c>
      <c r="F157" s="581">
        <f t="shared" si="38"/>
        <v>226068.91461100007</v>
      </c>
      <c r="G157" s="623">
        <f t="shared" si="39"/>
        <v>1</v>
      </c>
      <c r="H157" s="625">
        <f t="shared" si="40"/>
        <v>0.49090457251500325</v>
      </c>
      <c r="I157" s="581">
        <f t="shared" si="41"/>
        <v>110978.26388604376</v>
      </c>
      <c r="J157" s="106"/>
      <c r="K157" s="448">
        <f>[3]Reserve!$D70</f>
        <v>224031.88430696164</v>
      </c>
      <c r="L157" s="624">
        <f t="shared" si="42"/>
        <v>1</v>
      </c>
      <c r="M157" s="625">
        <f t="shared" si="42"/>
        <v>0.49090457251500325</v>
      </c>
      <c r="N157" s="394">
        <f t="shared" si="43"/>
        <v>109978.27639543967</v>
      </c>
      <c r="S157" s="625"/>
      <c r="T157" s="625"/>
    </row>
    <row r="158" spans="1:20">
      <c r="A158" s="1069">
        <f t="shared" si="37"/>
        <v>143</v>
      </c>
      <c r="B158" s="468">
        <v>39800</v>
      </c>
      <c r="C158" s="4" t="s">
        <v>666</v>
      </c>
      <c r="D158" s="448">
        <f>[3]Reserve!$AF71</f>
        <v>666779.17937316652</v>
      </c>
      <c r="E158" s="581">
        <v>0</v>
      </c>
      <c r="F158" s="581">
        <f t="shared" si="38"/>
        <v>666779.17937316652</v>
      </c>
      <c r="G158" s="623">
        <f t="shared" si="39"/>
        <v>1</v>
      </c>
      <c r="H158" s="625">
        <f t="shared" si="40"/>
        <v>0.49090457251500325</v>
      </c>
      <c r="I158" s="581">
        <f t="shared" si="41"/>
        <v>327324.94801208901</v>
      </c>
      <c r="J158" s="106"/>
      <c r="K158" s="448">
        <f>[3]Reserve!$D71</f>
        <v>651472.52045016654</v>
      </c>
      <c r="L158" s="624">
        <f t="shared" si="42"/>
        <v>1</v>
      </c>
      <c r="M158" s="625">
        <f t="shared" si="42"/>
        <v>0.49090457251500325</v>
      </c>
      <c r="N158" s="394">
        <f t="shared" si="43"/>
        <v>319810.83915686072</v>
      </c>
      <c r="S158" s="625"/>
      <c r="T158" s="625"/>
    </row>
    <row r="159" spans="1:20">
      <c r="A159" s="1069">
        <f t="shared" si="37"/>
        <v>144</v>
      </c>
      <c r="B159" s="468">
        <v>39900</v>
      </c>
      <c r="C159" s="4" t="s">
        <v>1173</v>
      </c>
      <c r="D159" s="448">
        <f>[3]Reserve!$AF72</f>
        <v>76993.22</v>
      </c>
      <c r="E159" s="581">
        <v>0</v>
      </c>
      <c r="F159" s="581">
        <f t="shared" si="38"/>
        <v>76993.22</v>
      </c>
      <c r="G159" s="623">
        <f t="shared" si="39"/>
        <v>1</v>
      </c>
      <c r="H159" s="625">
        <f t="shared" si="40"/>
        <v>0.49090457251500325</v>
      </c>
      <c r="I159" s="581">
        <f t="shared" si="41"/>
        <v>37796.323750653595</v>
      </c>
      <c r="J159" s="106"/>
      <c r="K159" s="448">
        <f>[3]Reserve!$D72</f>
        <v>76993.219999999987</v>
      </c>
      <c r="L159" s="624">
        <f t="shared" si="42"/>
        <v>1</v>
      </c>
      <c r="M159" s="625">
        <f t="shared" si="42"/>
        <v>0.49090457251500325</v>
      </c>
      <c r="N159" s="394">
        <f t="shared" si="43"/>
        <v>37796.323750653595</v>
      </c>
      <c r="S159" s="625"/>
      <c r="T159" s="625"/>
    </row>
    <row r="160" spans="1:20">
      <c r="A160" s="1069">
        <f t="shared" si="37"/>
        <v>145</v>
      </c>
      <c r="B160" s="468">
        <v>39901</v>
      </c>
      <c r="C160" s="4" t="s">
        <v>489</v>
      </c>
      <c r="D160" s="448">
        <f>[3]Reserve!$AF73</f>
        <v>340175.72142700013</v>
      </c>
      <c r="E160" s="581">
        <v>0</v>
      </c>
      <c r="F160" s="581">
        <f t="shared" si="38"/>
        <v>340175.72142700013</v>
      </c>
      <c r="G160" s="623">
        <f t="shared" si="39"/>
        <v>1</v>
      </c>
      <c r="H160" s="625">
        <f t="shared" si="40"/>
        <v>0.49090457251500325</v>
      </c>
      <c r="I160" s="581">
        <f t="shared" si="41"/>
        <v>166993.81710710432</v>
      </c>
      <c r="J160" s="106"/>
      <c r="K160" s="448">
        <f>[3]Reserve!$D73</f>
        <v>329333.62491700001</v>
      </c>
      <c r="L160" s="624">
        <f t="shared" si="42"/>
        <v>1</v>
      </c>
      <c r="M160" s="625">
        <f t="shared" si="42"/>
        <v>0.49090457251500325</v>
      </c>
      <c r="N160" s="394">
        <f t="shared" si="43"/>
        <v>161671.38235469631</v>
      </c>
      <c r="S160" s="625"/>
      <c r="T160" s="625"/>
    </row>
    <row r="161" spans="1:20">
      <c r="A161" s="1069">
        <f t="shared" si="37"/>
        <v>146</v>
      </c>
      <c r="B161" s="468">
        <v>39902</v>
      </c>
      <c r="C161" s="4" t="s">
        <v>979</v>
      </c>
      <c r="D161" s="448">
        <f>[3]Reserve!$AF74</f>
        <v>8273.14</v>
      </c>
      <c r="E161" s="581">
        <v>0</v>
      </c>
      <c r="F161" s="581">
        <f t="shared" si="38"/>
        <v>8273.14</v>
      </c>
      <c r="G161" s="623">
        <f t="shared" si="39"/>
        <v>1</v>
      </c>
      <c r="H161" s="625">
        <f t="shared" si="40"/>
        <v>0.49090457251500325</v>
      </c>
      <c r="I161" s="581">
        <f t="shared" si="41"/>
        <v>4061.3222550567739</v>
      </c>
      <c r="J161" s="106"/>
      <c r="K161" s="448">
        <f>[3]Reserve!$D74</f>
        <v>8273.14</v>
      </c>
      <c r="L161" s="624">
        <f t="shared" si="42"/>
        <v>1</v>
      </c>
      <c r="M161" s="625">
        <f t="shared" si="42"/>
        <v>0.49090457251500325</v>
      </c>
      <c r="N161" s="394">
        <f t="shared" si="43"/>
        <v>4061.3222550567739</v>
      </c>
      <c r="S161" s="625"/>
      <c r="T161" s="625"/>
    </row>
    <row r="162" spans="1:20">
      <c r="A162" s="1069">
        <f t="shared" si="37"/>
        <v>147</v>
      </c>
      <c r="B162" s="468">
        <v>39903</v>
      </c>
      <c r="C162" s="4" t="s">
        <v>1022</v>
      </c>
      <c r="D162" s="448">
        <f>[3]Reserve!$AF75</f>
        <v>209357.66</v>
      </c>
      <c r="E162" s="581">
        <v>0</v>
      </c>
      <c r="F162" s="581">
        <f t="shared" si="38"/>
        <v>209357.66</v>
      </c>
      <c r="G162" s="623">
        <f t="shared" si="39"/>
        <v>1</v>
      </c>
      <c r="H162" s="625">
        <f t="shared" si="40"/>
        <v>0.49090457251500325</v>
      </c>
      <c r="I162" s="581">
        <f t="shared" si="41"/>
        <v>102774.6325850414</v>
      </c>
      <c r="J162" s="106"/>
      <c r="K162" s="448">
        <f>[3]Reserve!$D75</f>
        <v>209357.66</v>
      </c>
      <c r="L162" s="624">
        <f t="shared" si="42"/>
        <v>1</v>
      </c>
      <c r="M162" s="625">
        <f t="shared" si="42"/>
        <v>0.49090457251500325</v>
      </c>
      <c r="N162" s="394">
        <f t="shared" si="43"/>
        <v>102774.6325850414</v>
      </c>
      <c r="S162" s="625"/>
      <c r="T162" s="625"/>
    </row>
    <row r="163" spans="1:20">
      <c r="A163" s="1069">
        <f t="shared" si="37"/>
        <v>148</v>
      </c>
      <c r="B163" s="468">
        <v>39906</v>
      </c>
      <c r="C163" s="4" t="s">
        <v>465</v>
      </c>
      <c r="D163" s="448">
        <f>[3]Reserve!$AF76</f>
        <v>325080.33999999991</v>
      </c>
      <c r="E163" s="581">
        <v>0</v>
      </c>
      <c r="F163" s="581">
        <f t="shared" si="38"/>
        <v>325080.33999999991</v>
      </c>
      <c r="G163" s="623">
        <f t="shared" si="39"/>
        <v>1</v>
      </c>
      <c r="H163" s="625">
        <f t="shared" si="40"/>
        <v>0.49090457251500325</v>
      </c>
      <c r="I163" s="581">
        <f t="shared" si="41"/>
        <v>159583.42534073186</v>
      </c>
      <c r="J163" s="106"/>
      <c r="K163" s="448">
        <f>[3]Reserve!$D76</f>
        <v>325080.33999999991</v>
      </c>
      <c r="L163" s="624">
        <f t="shared" si="42"/>
        <v>1</v>
      </c>
      <c r="M163" s="625">
        <f t="shared" si="42"/>
        <v>0.49090457251500325</v>
      </c>
      <c r="N163" s="394">
        <f t="shared" si="43"/>
        <v>159583.42534073186</v>
      </c>
      <c r="S163" s="625"/>
      <c r="T163" s="625"/>
    </row>
    <row r="164" spans="1:20">
      <c r="A164" s="1069">
        <f t="shared" si="37"/>
        <v>149</v>
      </c>
      <c r="B164" s="468">
        <v>39907</v>
      </c>
      <c r="C164" s="4" t="s">
        <v>520</v>
      </c>
      <c r="D164" s="448">
        <f>[3]Reserve!$AF77</f>
        <v>63179.857279249991</v>
      </c>
      <c r="E164" s="581">
        <v>0</v>
      </c>
      <c r="F164" s="581">
        <f t="shared" si="38"/>
        <v>63179.857279249991</v>
      </c>
      <c r="G164" s="623">
        <f t="shared" si="39"/>
        <v>1</v>
      </c>
      <c r="H164" s="625">
        <f t="shared" si="40"/>
        <v>0.49090457251500325</v>
      </c>
      <c r="I164" s="581">
        <f t="shared" si="41"/>
        <v>31015.280829229134</v>
      </c>
      <c r="J164" s="106"/>
      <c r="K164" s="448">
        <f>[3]Reserve!$D77</f>
        <v>59020.269390749978</v>
      </c>
      <c r="L164" s="624">
        <f t="shared" si="42"/>
        <v>1</v>
      </c>
      <c r="M164" s="558">
        <f t="shared" si="42"/>
        <v>0.49090457251500325</v>
      </c>
      <c r="N164" s="394">
        <f t="shared" si="43"/>
        <v>28973.320114986447</v>
      </c>
      <c r="S164" s="625"/>
      <c r="T164" s="625"/>
    </row>
    <row r="165" spans="1:20">
      <c r="A165" s="1069">
        <f t="shared" si="37"/>
        <v>150</v>
      </c>
      <c r="B165" s="468">
        <v>39908</v>
      </c>
      <c r="C165" s="4" t="s">
        <v>184</v>
      </c>
      <c r="D165" s="448">
        <f>[3]Reserve!$AF78</f>
        <v>898473.13</v>
      </c>
      <c r="E165" s="581">
        <v>0</v>
      </c>
      <c r="F165" s="581">
        <f t="shared" si="38"/>
        <v>898473.13</v>
      </c>
      <c r="G165" s="623">
        <f t="shared" si="39"/>
        <v>1</v>
      </c>
      <c r="H165" s="625">
        <f t="shared" si="40"/>
        <v>0.49090457251500325</v>
      </c>
      <c r="I165" s="581">
        <f t="shared" si="41"/>
        <v>441064.56779886695</v>
      </c>
      <c r="J165" s="106"/>
      <c r="K165" s="448">
        <f>[3]Reserve!$D78</f>
        <v>898473.13000000024</v>
      </c>
      <c r="L165" s="624">
        <f t="shared" si="42"/>
        <v>1</v>
      </c>
      <c r="M165" s="558">
        <f t="shared" si="42"/>
        <v>0.49090457251500325</v>
      </c>
      <c r="N165" s="394">
        <f t="shared" si="43"/>
        <v>441064.56779886706</v>
      </c>
      <c r="S165" s="625"/>
      <c r="T165" s="625"/>
    </row>
    <row r="166" spans="1:20">
      <c r="A166" s="1069">
        <f t="shared" si="37"/>
        <v>151</v>
      </c>
      <c r="B166" s="468"/>
      <c r="C166" s="4" t="s">
        <v>1164</v>
      </c>
      <c r="D166" s="448">
        <f>[3]Reserve!$AF79</f>
        <v>57506.510000000009</v>
      </c>
      <c r="E166" s="1085"/>
      <c r="F166" s="1085"/>
      <c r="G166" s="623">
        <f t="shared" si="39"/>
        <v>1</v>
      </c>
      <c r="H166" s="625">
        <f t="shared" si="40"/>
        <v>0.49090457251500325</v>
      </c>
      <c r="I166" s="1144">
        <f t="shared" si="41"/>
        <v>0</v>
      </c>
      <c r="J166" s="106"/>
      <c r="K166" s="448">
        <f>[3]Reserve!$D79</f>
        <v>57506.510000000009</v>
      </c>
      <c r="L166" s="624">
        <f>G166</f>
        <v>1</v>
      </c>
      <c r="M166" s="558">
        <f>H166</f>
        <v>0.49090457251500325</v>
      </c>
      <c r="N166" s="395">
        <f t="shared" si="43"/>
        <v>28230.208708379763</v>
      </c>
      <c r="S166" s="625"/>
      <c r="T166" s="625"/>
    </row>
    <row r="167" spans="1:20">
      <c r="A167" s="1069">
        <f t="shared" si="37"/>
        <v>152</v>
      </c>
      <c r="B167" s="510"/>
      <c r="C167" s="4"/>
      <c r="D167" s="812"/>
      <c r="E167" s="812"/>
      <c r="F167" s="812"/>
      <c r="G167" s="1131"/>
      <c r="H167" s="1131"/>
      <c r="I167" s="106"/>
      <c r="J167" s="106"/>
      <c r="K167" s="106"/>
    </row>
    <row r="168" spans="1:20" ht="15" customHeight="1">
      <c r="A168" s="1069">
        <f t="shared" si="37"/>
        <v>153</v>
      </c>
      <c r="B168" s="510"/>
      <c r="C168" s="4" t="s">
        <v>4</v>
      </c>
      <c r="D168" s="448">
        <f>SUM(D150:D166)</f>
        <v>3218613.4676457494</v>
      </c>
      <c r="E168" s="448">
        <f>SUM(E150:E166)</f>
        <v>0</v>
      </c>
      <c r="F168" s="448">
        <f>SUM(F150:F166)</f>
        <v>3161106.9576457497</v>
      </c>
      <c r="G168" s="1131"/>
      <c r="H168" s="1131"/>
      <c r="I168" s="448">
        <f>SUM(I150:I166)</f>
        <v>1551801.8597172895</v>
      </c>
      <c r="J168" s="106"/>
      <c r="K168" s="448">
        <f>SUM(K150:K166)</f>
        <v>3175967.3370851865</v>
      </c>
      <c r="N168" s="385">
        <f>SUM(N150:N166)</f>
        <v>1559096.8879334165</v>
      </c>
    </row>
    <row r="169" spans="1:20" ht="15" customHeight="1">
      <c r="A169" s="1069">
        <f t="shared" si="37"/>
        <v>154</v>
      </c>
      <c r="B169" s="510"/>
      <c r="C169" s="4"/>
      <c r="D169" s="106"/>
      <c r="E169" s="106"/>
      <c r="F169" s="106"/>
      <c r="G169" s="1131"/>
      <c r="H169" s="1131"/>
      <c r="I169" s="106"/>
      <c r="J169" s="106"/>
      <c r="K169" s="106"/>
    </row>
    <row r="170" spans="1:20" ht="15" customHeight="1" thickBot="1">
      <c r="A170" s="1069">
        <f t="shared" si="37"/>
        <v>155</v>
      </c>
      <c r="B170" s="510"/>
      <c r="C170" s="247" t="s">
        <v>1371</v>
      </c>
      <c r="D170" s="428">
        <f>D122+D147+D168</f>
        <v>3218613.4676457494</v>
      </c>
      <c r="E170" s="428">
        <f>E122+E147+E168</f>
        <v>0</v>
      </c>
      <c r="F170" s="428">
        <f>F122+F147+F168</f>
        <v>3161106.9576457497</v>
      </c>
      <c r="G170" s="1131"/>
      <c r="H170" s="1131"/>
      <c r="I170" s="428">
        <f>I122+I147+I168</f>
        <v>1551801.8597172895</v>
      </c>
      <c r="J170" s="106"/>
      <c r="K170" s="428">
        <f>K122+K147+K168</f>
        <v>3175967.3370851865</v>
      </c>
      <c r="N170" s="425">
        <f>N122+N147+N168</f>
        <v>1559096.8879334165</v>
      </c>
      <c r="P170" s="1058"/>
      <c r="Q170" s="1058"/>
    </row>
    <row r="171" spans="1:20" ht="15" customHeight="1" thickTop="1">
      <c r="A171" s="1069">
        <f t="shared" si="37"/>
        <v>156</v>
      </c>
      <c r="B171" s="406"/>
      <c r="D171" s="809"/>
      <c r="E171" s="427"/>
      <c r="F171" s="106"/>
      <c r="G171" s="1131"/>
      <c r="H171" s="1131"/>
      <c r="I171" s="106"/>
      <c r="J171" s="106"/>
      <c r="K171" s="106"/>
      <c r="P171" s="106"/>
      <c r="Q171" s="106"/>
    </row>
    <row r="172" spans="1:20" ht="15" customHeight="1">
      <c r="A172" s="1069">
        <f t="shared" si="37"/>
        <v>157</v>
      </c>
      <c r="B172" s="419" t="s">
        <v>8</v>
      </c>
      <c r="D172" s="809"/>
      <c r="E172" s="427"/>
      <c r="F172" s="106"/>
      <c r="G172" s="1131"/>
      <c r="H172" s="1131"/>
      <c r="I172" s="106"/>
      <c r="J172" s="106"/>
      <c r="K172" s="106"/>
    </row>
    <row r="173" spans="1:20" ht="15" customHeight="1">
      <c r="A173" s="1069">
        <f t="shared" si="37"/>
        <v>158</v>
      </c>
      <c r="C173" s="106"/>
      <c r="D173" s="809"/>
      <c r="E173" s="106"/>
      <c r="F173" s="106"/>
      <c r="G173" s="1131"/>
      <c r="H173" s="1131"/>
      <c r="I173" s="106"/>
      <c r="J173" s="106"/>
      <c r="K173" s="106"/>
    </row>
    <row r="174" spans="1:20" ht="15" customHeight="1">
      <c r="A174" s="1069">
        <f t="shared" si="37"/>
        <v>159</v>
      </c>
      <c r="B174" s="510"/>
      <c r="C174" s="813" t="s">
        <v>309</v>
      </c>
      <c r="D174" s="809"/>
      <c r="E174" s="106"/>
      <c r="F174" s="106"/>
      <c r="G174" s="1131"/>
      <c r="H174" s="1131"/>
      <c r="I174" s="106"/>
      <c r="J174" s="106"/>
      <c r="K174" s="106"/>
    </row>
    <row r="175" spans="1:20" ht="15" customHeight="1">
      <c r="A175" s="1069">
        <f t="shared" si="37"/>
        <v>160</v>
      </c>
      <c r="B175" s="685">
        <v>39000</v>
      </c>
      <c r="C175" s="115" t="s">
        <v>874</v>
      </c>
      <c r="D175" s="448">
        <f>[3]Reserve!$AF7</f>
        <v>377671.47431382659</v>
      </c>
      <c r="E175" s="448">
        <v>0</v>
      </c>
      <c r="F175" s="448">
        <f t="shared" ref="F175:F199" si="44">D175+E175</f>
        <v>377671.47431382659</v>
      </c>
      <c r="G175" s="625">
        <f>Allocation!$C$14</f>
        <v>0.1071</v>
      </c>
      <c r="H175" s="625">
        <f>Allocation!$D$14</f>
        <v>0.49090457251500325</v>
      </c>
      <c r="I175" s="448">
        <f t="shared" ref="I175:I199" si="45">F175*G175*H175</f>
        <v>19856.410005822901</v>
      </c>
      <c r="J175" s="106"/>
      <c r="K175" s="448">
        <f>[3]Reserve!$D7</f>
        <v>342141.76598517626</v>
      </c>
      <c r="L175" s="558">
        <f t="shared" ref="L175:M197" si="46">G175</f>
        <v>0.1071</v>
      </c>
      <c r="M175" s="558">
        <f t="shared" si="46"/>
        <v>0.49090457251500325</v>
      </c>
      <c r="N175" s="385">
        <f t="shared" ref="N175:N199" si="47">K175*L175*M175</f>
        <v>17988.404334378542</v>
      </c>
      <c r="P175" s="875"/>
      <c r="S175" s="625"/>
      <c r="T175" s="625"/>
    </row>
    <row r="176" spans="1:20" ht="15" customHeight="1">
      <c r="A176" s="1069">
        <f t="shared" si="37"/>
        <v>161</v>
      </c>
      <c r="B176" s="685">
        <v>39005</v>
      </c>
      <c r="C176" s="115" t="s">
        <v>1217</v>
      </c>
      <c r="D176" s="448">
        <f>[3]Reserve!$AF8</f>
        <v>4419387.5581265027</v>
      </c>
      <c r="E176" s="815">
        <v>0</v>
      </c>
      <c r="F176" s="581">
        <f t="shared" si="44"/>
        <v>4419387.5581265027</v>
      </c>
      <c r="G176" s="625">
        <v>1</v>
      </c>
      <c r="H176" s="625">
        <f>Allocation!$E$20</f>
        <v>1.5418259551017742E-2</v>
      </c>
      <c r="I176" s="581">
        <f t="shared" si="45"/>
        <v>68139.264427732924</v>
      </c>
      <c r="J176" s="106"/>
      <c r="K176" s="448">
        <f>[3]Reserve!$D8</f>
        <v>4280936.5804510014</v>
      </c>
      <c r="L176" s="558">
        <f t="shared" si="46"/>
        <v>1</v>
      </c>
      <c r="M176" s="558">
        <f t="shared" si="46"/>
        <v>1.5418259551017742E-2</v>
      </c>
      <c r="N176" s="394">
        <f t="shared" si="47"/>
        <v>66004.591318839884</v>
      </c>
      <c r="P176" s="875"/>
      <c r="S176" s="625"/>
      <c r="T176" s="625"/>
    </row>
    <row r="177" spans="1:20" ht="15" customHeight="1">
      <c r="A177" s="1069">
        <f t="shared" si="37"/>
        <v>162</v>
      </c>
      <c r="B177" s="685">
        <v>39009</v>
      </c>
      <c r="C177" s="115" t="s">
        <v>1056</v>
      </c>
      <c r="D177" s="448">
        <f>[3]Reserve!$AF9</f>
        <v>9534899.1083900295</v>
      </c>
      <c r="E177" s="815">
        <v>0</v>
      </c>
      <c r="F177" s="581">
        <f t="shared" si="44"/>
        <v>9534899.1083900295</v>
      </c>
      <c r="G177" s="625">
        <f>$G$175</f>
        <v>0.1071</v>
      </c>
      <c r="H177" s="625">
        <f>$H$175</f>
        <v>0.49090457251500325</v>
      </c>
      <c r="I177" s="581">
        <f t="shared" si="45"/>
        <v>501305.70863031235</v>
      </c>
      <c r="J177" s="106"/>
      <c r="K177" s="448">
        <f>[3]Reserve!$D9</f>
        <v>9376230.9372882526</v>
      </c>
      <c r="L177" s="558">
        <f t="shared" si="46"/>
        <v>0.1071</v>
      </c>
      <c r="M177" s="558">
        <f t="shared" si="46"/>
        <v>0.49090457251500325</v>
      </c>
      <c r="N177" s="394">
        <f t="shared" si="47"/>
        <v>492963.589951651</v>
      </c>
      <c r="P177" s="875"/>
      <c r="S177" s="625"/>
      <c r="T177" s="625"/>
    </row>
    <row r="178" spans="1:20" ht="15" customHeight="1">
      <c r="A178" s="1069">
        <f t="shared" si="37"/>
        <v>163</v>
      </c>
      <c r="B178" s="685">
        <v>39100</v>
      </c>
      <c r="C178" s="115" t="s">
        <v>796</v>
      </c>
      <c r="D178" s="448">
        <f>[3]Reserve!$AF10</f>
        <v>6762897.40193009</v>
      </c>
      <c r="E178" s="815">
        <v>0</v>
      </c>
      <c r="F178" s="581">
        <f t="shared" si="44"/>
        <v>6762897.40193009</v>
      </c>
      <c r="G178" s="625">
        <f>$G$175</f>
        <v>0.1071</v>
      </c>
      <c r="H178" s="625">
        <f>$H$175</f>
        <v>0.49090457251500325</v>
      </c>
      <c r="I178" s="581">
        <f t="shared" si="45"/>
        <v>355565.28033793863</v>
      </c>
      <c r="J178" s="106"/>
      <c r="K178" s="448">
        <f>[3]Reserve!$D10</f>
        <v>6538887.1487144716</v>
      </c>
      <c r="L178" s="558">
        <f t="shared" si="46"/>
        <v>0.1071</v>
      </c>
      <c r="M178" s="558">
        <f t="shared" si="46"/>
        <v>0.49090457251500325</v>
      </c>
      <c r="N178" s="394">
        <f t="shared" si="47"/>
        <v>343787.74420964363</v>
      </c>
      <c r="P178" s="875"/>
      <c r="S178" s="625"/>
      <c r="T178" s="625"/>
    </row>
    <row r="179" spans="1:20" ht="15" customHeight="1">
      <c r="A179" s="1069">
        <f t="shared" si="37"/>
        <v>164</v>
      </c>
      <c r="B179" s="685">
        <v>39102</v>
      </c>
      <c r="C179" s="115" t="s">
        <v>542</v>
      </c>
      <c r="D179" s="448">
        <f>[3]Reserve!$AF11</f>
        <v>5859.7</v>
      </c>
      <c r="E179" s="815">
        <v>0</v>
      </c>
      <c r="F179" s="581">
        <f t="shared" si="44"/>
        <v>5859.7</v>
      </c>
      <c r="G179" s="625">
        <f>$G$175</f>
        <v>0.1071</v>
      </c>
      <c r="H179" s="625">
        <f>$H$175</f>
        <v>0.49090457251500325</v>
      </c>
      <c r="I179" s="581">
        <f t="shared" si="45"/>
        <v>308.07888237393621</v>
      </c>
      <c r="J179" s="106"/>
      <c r="K179" s="448">
        <f>[3]Reserve!$D11</f>
        <v>5859.699999999998</v>
      </c>
      <c r="L179" s="558">
        <f t="shared" si="46"/>
        <v>0.1071</v>
      </c>
      <c r="M179" s="558">
        <f t="shared" si="46"/>
        <v>0.49090457251500325</v>
      </c>
      <c r="N179" s="394">
        <f t="shared" si="47"/>
        <v>308.07888237393615</v>
      </c>
      <c r="P179" s="875"/>
      <c r="S179" s="625"/>
      <c r="T179" s="625"/>
    </row>
    <row r="180" spans="1:20" ht="15" customHeight="1">
      <c r="A180" s="1069">
        <f t="shared" si="37"/>
        <v>165</v>
      </c>
      <c r="B180" s="686">
        <v>39103</v>
      </c>
      <c r="C180" s="115" t="s">
        <v>797</v>
      </c>
      <c r="D180" s="448">
        <f>[3]Reserve!$AF12</f>
        <v>2888.48</v>
      </c>
      <c r="E180" s="815">
        <v>0</v>
      </c>
      <c r="F180" s="581">
        <f t="shared" si="44"/>
        <v>2888.48</v>
      </c>
      <c r="G180" s="625">
        <f>$G$175</f>
        <v>0.1071</v>
      </c>
      <c r="H180" s="625">
        <f>$H$175</f>
        <v>0.49090457251500325</v>
      </c>
      <c r="I180" s="581">
        <f t="shared" si="45"/>
        <v>151.86437704310242</v>
      </c>
      <c r="J180" s="106"/>
      <c r="K180" s="448">
        <f>[3]Reserve!$D12</f>
        <v>2888.4800000000005</v>
      </c>
      <c r="L180" s="558">
        <f t="shared" si="46"/>
        <v>0.1071</v>
      </c>
      <c r="M180" s="558">
        <f t="shared" si="46"/>
        <v>0.49090457251500325</v>
      </c>
      <c r="N180" s="394">
        <f t="shared" si="47"/>
        <v>151.86437704310245</v>
      </c>
      <c r="P180" s="875"/>
      <c r="S180" s="625"/>
      <c r="T180" s="625"/>
    </row>
    <row r="181" spans="1:20" ht="15" customHeight="1">
      <c r="A181" s="1069">
        <f t="shared" si="37"/>
        <v>166</v>
      </c>
      <c r="B181" s="685">
        <v>39104</v>
      </c>
      <c r="C181" s="106" t="s">
        <v>1218</v>
      </c>
      <c r="D181" s="448">
        <f>[3]Reserve!$AF13</f>
        <v>14373.874851250004</v>
      </c>
      <c r="E181" s="815">
        <v>0</v>
      </c>
      <c r="F181" s="581">
        <f t="shared" si="44"/>
        <v>14373.874851250004</v>
      </c>
      <c r="G181" s="625">
        <v>1</v>
      </c>
      <c r="H181" s="625">
        <f>$H$176</f>
        <v>1.5418259551017742E-2</v>
      </c>
      <c r="I181" s="581">
        <f t="shared" si="45"/>
        <v>221.62013321041911</v>
      </c>
      <c r="J181" s="106"/>
      <c r="K181" s="448">
        <f>[3]Reserve!$D13</f>
        <v>13111.80602125</v>
      </c>
      <c r="L181" s="558">
        <f t="shared" si="46"/>
        <v>1</v>
      </c>
      <c r="M181" s="558">
        <f t="shared" si="46"/>
        <v>1.5418259551017742E-2</v>
      </c>
      <c r="N181" s="394">
        <f t="shared" si="47"/>
        <v>202.16122841822977</v>
      </c>
      <c r="P181" s="875"/>
      <c r="S181" s="625"/>
      <c r="T181" s="625"/>
    </row>
    <row r="182" spans="1:20" ht="15" customHeight="1">
      <c r="A182" s="1069">
        <f t="shared" si="37"/>
        <v>167</v>
      </c>
      <c r="B182" s="685">
        <v>39200</v>
      </c>
      <c r="C182" s="115" t="s">
        <v>1096</v>
      </c>
      <c r="D182" s="448">
        <f>[3]Reserve!$AF14</f>
        <v>103526.48346449996</v>
      </c>
      <c r="E182" s="815">
        <v>0</v>
      </c>
      <c r="F182" s="581">
        <f t="shared" si="44"/>
        <v>103526.48346449996</v>
      </c>
      <c r="G182" s="625">
        <f t="shared" ref="G182:G199" si="48">$G$175</f>
        <v>0.1071</v>
      </c>
      <c r="H182" s="625">
        <f t="shared" ref="H182:H199" si="49">$H$175</f>
        <v>0.49090457251500325</v>
      </c>
      <c r="I182" s="581">
        <f t="shared" si="45"/>
        <v>5442.9959420869563</v>
      </c>
      <c r="J182" s="106"/>
      <c r="K182" s="448">
        <f>[3]Reserve!$D14</f>
        <v>103471.19587769225</v>
      </c>
      <c r="L182" s="558">
        <f t="shared" si="46"/>
        <v>0.1071</v>
      </c>
      <c r="M182" s="558">
        <f t="shared" si="46"/>
        <v>0.49090457251500325</v>
      </c>
      <c r="N182" s="394">
        <f t="shared" si="47"/>
        <v>5440.0891485731463</v>
      </c>
      <c r="P182" s="875"/>
      <c r="S182" s="625"/>
      <c r="T182" s="625"/>
    </row>
    <row r="183" spans="1:20" ht="15" customHeight="1">
      <c r="A183" s="1069">
        <f t="shared" si="37"/>
        <v>168</v>
      </c>
      <c r="B183" s="685">
        <v>39300</v>
      </c>
      <c r="C183" s="115" t="s">
        <v>665</v>
      </c>
      <c r="D183" s="448">
        <f>[3]Reserve!$AF15</f>
        <v>757.51</v>
      </c>
      <c r="E183" s="815">
        <v>0</v>
      </c>
      <c r="F183" s="581">
        <f t="shared" si="44"/>
        <v>757.51</v>
      </c>
      <c r="G183" s="625">
        <f t="shared" si="48"/>
        <v>0.1071</v>
      </c>
      <c r="H183" s="625">
        <f t="shared" si="49"/>
        <v>0.49090457251500325</v>
      </c>
      <c r="I183" s="581">
        <f t="shared" si="45"/>
        <v>39.826754643937477</v>
      </c>
      <c r="J183" s="106"/>
      <c r="K183" s="448">
        <f>[3]Reserve!$D15</f>
        <v>757.5100000000001</v>
      </c>
      <c r="L183" s="558">
        <f t="shared" si="46"/>
        <v>0.1071</v>
      </c>
      <c r="M183" s="558">
        <f t="shared" si="46"/>
        <v>0.49090457251500325</v>
      </c>
      <c r="N183" s="394">
        <f t="shared" si="47"/>
        <v>39.826754643937484</v>
      </c>
      <c r="P183" s="875"/>
      <c r="S183" s="625"/>
      <c r="T183" s="625"/>
    </row>
    <row r="184" spans="1:20" ht="15" customHeight="1">
      <c r="A184" s="1069">
        <f t="shared" si="37"/>
        <v>169</v>
      </c>
      <c r="B184" s="685">
        <v>39400</v>
      </c>
      <c r="C184" s="115" t="s">
        <v>1055</v>
      </c>
      <c r="D184" s="448">
        <f>[3]Reserve!$AF16</f>
        <v>300162.41831639275</v>
      </c>
      <c r="E184" s="815">
        <v>0</v>
      </c>
      <c r="F184" s="581">
        <f t="shared" si="44"/>
        <v>300162.41831639275</v>
      </c>
      <c r="G184" s="625">
        <f t="shared" si="48"/>
        <v>0.1071</v>
      </c>
      <c r="H184" s="625">
        <f t="shared" si="49"/>
        <v>0.49090457251500325</v>
      </c>
      <c r="I184" s="581">
        <f t="shared" si="45"/>
        <v>15781.303200773453</v>
      </c>
      <c r="J184" s="106"/>
      <c r="K184" s="448">
        <f>[3]Reserve!$D16</f>
        <v>225442.73207752156</v>
      </c>
      <c r="L184" s="558">
        <f t="shared" si="46"/>
        <v>0.1071</v>
      </c>
      <c r="M184" s="558">
        <f t="shared" si="46"/>
        <v>0.49090457251500325</v>
      </c>
      <c r="N184" s="394">
        <f t="shared" si="47"/>
        <v>11852.849964634637</v>
      </c>
      <c r="P184" s="875"/>
      <c r="S184" s="625"/>
      <c r="T184" s="625"/>
    </row>
    <row r="185" spans="1:20">
      <c r="A185" s="1069">
        <f t="shared" si="37"/>
        <v>170</v>
      </c>
      <c r="B185" s="685">
        <v>39500</v>
      </c>
      <c r="C185" s="115" t="s">
        <v>1219</v>
      </c>
      <c r="D185" s="448">
        <f>[3]Reserve!$AF17</f>
        <v>12218.128284999999</v>
      </c>
      <c r="E185" s="815">
        <v>0</v>
      </c>
      <c r="F185" s="581">
        <f t="shared" si="44"/>
        <v>12218.128284999999</v>
      </c>
      <c r="G185" s="625">
        <f t="shared" si="48"/>
        <v>0.1071</v>
      </c>
      <c r="H185" s="625">
        <f t="shared" si="49"/>
        <v>0.49090457251500325</v>
      </c>
      <c r="I185" s="581">
        <f t="shared" si="45"/>
        <v>642.37884307117724</v>
      </c>
      <c r="J185" s="106"/>
      <c r="K185" s="448">
        <f>[3]Reserve!$D17</f>
        <v>11030.6167675</v>
      </c>
      <c r="L185" s="558">
        <f t="shared" si="46"/>
        <v>0.1071</v>
      </c>
      <c r="M185" s="558">
        <f t="shared" si="46"/>
        <v>0.49090457251500325</v>
      </c>
      <c r="N185" s="394">
        <f t="shared" si="47"/>
        <v>579.94438036530892</v>
      </c>
      <c r="P185" s="875"/>
      <c r="S185" s="625"/>
      <c r="T185" s="625"/>
    </row>
    <row r="186" spans="1:20">
      <c r="A186" s="1069">
        <f t="shared" si="37"/>
        <v>171</v>
      </c>
      <c r="B186" s="468">
        <v>39700</v>
      </c>
      <c r="C186" s="4" t="s">
        <v>454</v>
      </c>
      <c r="D186" s="448">
        <f>[3]Reserve!$AF18</f>
        <v>1505492.8885503884</v>
      </c>
      <c r="E186" s="815">
        <v>0</v>
      </c>
      <c r="F186" s="581">
        <f t="shared" si="44"/>
        <v>1505492.8885503884</v>
      </c>
      <c r="G186" s="625">
        <f t="shared" si="48"/>
        <v>0.1071</v>
      </c>
      <c r="H186" s="625">
        <f t="shared" si="49"/>
        <v>0.49090457251500325</v>
      </c>
      <c r="I186" s="581">
        <f t="shared" si="45"/>
        <v>79152.613022255842</v>
      </c>
      <c r="J186" s="106"/>
      <c r="K186" s="448">
        <f>[3]Reserve!$D18</f>
        <v>1430512.6825936004</v>
      </c>
      <c r="L186" s="558">
        <f t="shared" si="46"/>
        <v>0.1071</v>
      </c>
      <c r="M186" s="558">
        <f t="shared" si="46"/>
        <v>0.49090457251500325</v>
      </c>
      <c r="N186" s="394">
        <f t="shared" si="47"/>
        <v>75210.462732764092</v>
      </c>
      <c r="P186" s="875"/>
      <c r="S186" s="625"/>
      <c r="T186" s="625"/>
    </row>
    <row r="187" spans="1:20">
      <c r="A187" s="1069">
        <f t="shared" si="37"/>
        <v>172</v>
      </c>
      <c r="B187" s="468">
        <v>39800</v>
      </c>
      <c r="C187" s="4" t="s">
        <v>666</v>
      </c>
      <c r="D187" s="448">
        <f>[3]Reserve!$AF19</f>
        <v>155238.34882366349</v>
      </c>
      <c r="E187" s="815">
        <v>0</v>
      </c>
      <c r="F187" s="581">
        <f t="shared" si="44"/>
        <v>155238.34882366349</v>
      </c>
      <c r="G187" s="625">
        <f t="shared" si="48"/>
        <v>0.1071</v>
      </c>
      <c r="H187" s="625">
        <f t="shared" si="49"/>
        <v>0.49090457251500325</v>
      </c>
      <c r="I187" s="581">
        <f t="shared" si="45"/>
        <v>8161.7927551187786</v>
      </c>
      <c r="J187" s="106"/>
      <c r="K187" s="448">
        <f>[3]Reserve!$D19</f>
        <v>140437.64689661382</v>
      </c>
      <c r="L187" s="558">
        <f t="shared" si="46"/>
        <v>0.1071</v>
      </c>
      <c r="M187" s="558">
        <f t="shared" si="46"/>
        <v>0.49090457251500325</v>
      </c>
      <c r="N187" s="394">
        <f t="shared" si="47"/>
        <v>7383.6328308845641</v>
      </c>
      <c r="P187" s="875"/>
      <c r="S187" s="625"/>
      <c r="T187" s="625"/>
    </row>
    <row r="188" spans="1:20">
      <c r="A188" s="1069">
        <f t="shared" si="37"/>
        <v>173</v>
      </c>
      <c r="B188" s="468">
        <v>39900</v>
      </c>
      <c r="C188" s="4" t="s">
        <v>1173</v>
      </c>
      <c r="D188" s="448">
        <f>[3]Reserve!$AF20</f>
        <v>150605.72351999991</v>
      </c>
      <c r="E188" s="815">
        <v>0</v>
      </c>
      <c r="F188" s="581">
        <f t="shared" si="44"/>
        <v>150605.72351999991</v>
      </c>
      <c r="G188" s="625">
        <f t="shared" si="48"/>
        <v>0.1071</v>
      </c>
      <c r="H188" s="625">
        <f t="shared" si="49"/>
        <v>0.49090457251500325</v>
      </c>
      <c r="I188" s="581">
        <f t="shared" si="45"/>
        <v>7918.2284043824111</v>
      </c>
      <c r="J188" s="106"/>
      <c r="K188" s="448">
        <f>[3]Reserve!$D20</f>
        <v>139628.57802999995</v>
      </c>
      <c r="L188" s="558">
        <f t="shared" si="46"/>
        <v>0.1071</v>
      </c>
      <c r="M188" s="558">
        <f t="shared" si="46"/>
        <v>0.49090457251500325</v>
      </c>
      <c r="N188" s="394">
        <f t="shared" si="47"/>
        <v>7341.0953234712233</v>
      </c>
      <c r="P188" s="875"/>
      <c r="S188" s="625"/>
      <c r="T188" s="625"/>
    </row>
    <row r="189" spans="1:20">
      <c r="A189" s="1069">
        <f t="shared" si="37"/>
        <v>174</v>
      </c>
      <c r="B189" s="468">
        <v>39901</v>
      </c>
      <c r="C189" s="4" t="s">
        <v>489</v>
      </c>
      <c r="D189" s="448">
        <f>[3]Reserve!$AF21</f>
        <v>10395733.584783155</v>
      </c>
      <c r="E189" s="815">
        <v>0</v>
      </c>
      <c r="F189" s="581">
        <f t="shared" si="44"/>
        <v>10395733.584783155</v>
      </c>
      <c r="G189" s="625">
        <f t="shared" si="48"/>
        <v>0.1071</v>
      </c>
      <c r="H189" s="625">
        <f t="shared" si="49"/>
        <v>0.49090457251500325</v>
      </c>
      <c r="I189" s="581">
        <f t="shared" si="45"/>
        <v>546564.83851685037</v>
      </c>
      <c r="J189" s="106"/>
      <c r="K189" s="448">
        <f>[3]Reserve!$D21</f>
        <v>8897841.3926442191</v>
      </c>
      <c r="L189" s="558">
        <f t="shared" si="46"/>
        <v>0.1071</v>
      </c>
      <c r="M189" s="558">
        <f t="shared" si="46"/>
        <v>0.49090457251500325</v>
      </c>
      <c r="N189" s="394">
        <f t="shared" si="47"/>
        <v>467811.83879488357</v>
      </c>
      <c r="P189" s="875"/>
      <c r="S189" s="625"/>
      <c r="T189" s="625"/>
    </row>
    <row r="190" spans="1:20">
      <c r="A190" s="1069">
        <f t="shared" si="37"/>
        <v>175</v>
      </c>
      <c r="B190" s="468">
        <v>39902</v>
      </c>
      <c r="C190" s="4" t="s">
        <v>979</v>
      </c>
      <c r="D190" s="448">
        <f>[3]Reserve!$AF22</f>
        <v>10002062.392514775</v>
      </c>
      <c r="E190" s="815">
        <v>0</v>
      </c>
      <c r="F190" s="581">
        <f t="shared" si="44"/>
        <v>10002062.392514775</v>
      </c>
      <c r="G190" s="625">
        <f t="shared" si="48"/>
        <v>0.1071</v>
      </c>
      <c r="H190" s="625">
        <f t="shared" si="49"/>
        <v>0.49090457251500325</v>
      </c>
      <c r="I190" s="581">
        <f t="shared" si="45"/>
        <v>525867.22926435317</v>
      </c>
      <c r="J190" s="106"/>
      <c r="K190" s="448">
        <f>[3]Reserve!$D22</f>
        <v>9125369.7927618325</v>
      </c>
      <c r="L190" s="558">
        <f t="shared" si="46"/>
        <v>0.1071</v>
      </c>
      <c r="M190" s="558">
        <f t="shared" si="46"/>
        <v>0.49090457251500325</v>
      </c>
      <c r="N190" s="394">
        <f t="shared" si="47"/>
        <v>479774.3445915223</v>
      </c>
      <c r="P190" s="875"/>
      <c r="S190" s="625"/>
      <c r="T190" s="625"/>
    </row>
    <row r="191" spans="1:20">
      <c r="A191" s="1069">
        <f t="shared" si="37"/>
        <v>176</v>
      </c>
      <c r="B191" s="468">
        <v>39903</v>
      </c>
      <c r="C191" s="4" t="s">
        <v>1022</v>
      </c>
      <c r="D191" s="448">
        <f>[3]Reserve!$AF23</f>
        <v>1607937.878608379</v>
      </c>
      <c r="E191" s="815">
        <v>0</v>
      </c>
      <c r="F191" s="581">
        <f t="shared" si="44"/>
        <v>1607937.878608379</v>
      </c>
      <c r="G191" s="625">
        <f t="shared" si="48"/>
        <v>0.1071</v>
      </c>
      <c r="H191" s="625">
        <f t="shared" si="49"/>
        <v>0.49090457251500325</v>
      </c>
      <c r="I191" s="581">
        <f t="shared" si="45"/>
        <v>84538.748497088134</v>
      </c>
      <c r="J191" s="106"/>
      <c r="K191" s="448">
        <f>[3]Reserve!$D23</f>
        <v>1488419.5982145811</v>
      </c>
      <c r="L191" s="558">
        <f t="shared" si="46"/>
        <v>0.1071</v>
      </c>
      <c r="M191" s="558">
        <f t="shared" si="46"/>
        <v>0.49090457251500325</v>
      </c>
      <c r="N191" s="394">
        <f t="shared" si="47"/>
        <v>78254.969763197994</v>
      </c>
      <c r="P191" s="875"/>
      <c r="S191" s="625"/>
      <c r="T191" s="625"/>
    </row>
    <row r="192" spans="1:20">
      <c r="A192" s="1069">
        <f t="shared" si="37"/>
        <v>177</v>
      </c>
      <c r="B192" s="468">
        <v>39904</v>
      </c>
      <c r="C192" s="4" t="s">
        <v>1198</v>
      </c>
      <c r="D192" s="448">
        <f>[3]Reserve!$AF24</f>
        <v>17152.41</v>
      </c>
      <c r="E192" s="815">
        <v>0</v>
      </c>
      <c r="F192" s="581">
        <f t="shared" si="44"/>
        <v>17152.41</v>
      </c>
      <c r="G192" s="625">
        <f t="shared" si="48"/>
        <v>0.1071</v>
      </c>
      <c r="H192" s="625">
        <f t="shared" si="49"/>
        <v>0.49090457251500325</v>
      </c>
      <c r="I192" s="581">
        <f t="shared" si="45"/>
        <v>901.80304500563636</v>
      </c>
      <c r="J192" s="106"/>
      <c r="K192" s="448">
        <f>[3]Reserve!$D24</f>
        <v>17152.41</v>
      </c>
      <c r="L192" s="558">
        <f t="shared" si="46"/>
        <v>0.1071</v>
      </c>
      <c r="M192" s="558">
        <f t="shared" si="46"/>
        <v>0.49090457251500325</v>
      </c>
      <c r="N192" s="394">
        <f t="shared" si="47"/>
        <v>901.80304500563636</v>
      </c>
      <c r="P192" s="875"/>
      <c r="S192" s="625"/>
      <c r="T192" s="625"/>
    </row>
    <row r="193" spans="1:20">
      <c r="A193" s="1069">
        <f t="shared" si="37"/>
        <v>178</v>
      </c>
      <c r="B193" s="468">
        <v>39905</v>
      </c>
      <c r="C193" s="4" t="s">
        <v>512</v>
      </c>
      <c r="D193" s="448">
        <f>[3]Reserve!$AF25</f>
        <v>15409.52</v>
      </c>
      <c r="E193" s="815">
        <v>0</v>
      </c>
      <c r="F193" s="581">
        <f t="shared" si="44"/>
        <v>15409.52</v>
      </c>
      <c r="G193" s="625">
        <f t="shared" si="48"/>
        <v>0.1071</v>
      </c>
      <c r="H193" s="625">
        <f t="shared" si="49"/>
        <v>0.49090457251500325</v>
      </c>
      <c r="I193" s="581">
        <f t="shared" si="45"/>
        <v>810.16907000679521</v>
      </c>
      <c r="J193" s="106"/>
      <c r="K193" s="448">
        <f>[3]Reserve!$D25</f>
        <v>15409.519999999999</v>
      </c>
      <c r="L193" s="558">
        <f t="shared" si="46"/>
        <v>0.1071</v>
      </c>
      <c r="M193" s="558">
        <f t="shared" si="46"/>
        <v>0.49090457251500325</v>
      </c>
      <c r="N193" s="394">
        <f t="shared" si="47"/>
        <v>810.1690700067951</v>
      </c>
      <c r="P193" s="875"/>
      <c r="S193" s="625"/>
      <c r="T193" s="625"/>
    </row>
    <row r="194" spans="1:20">
      <c r="A194" s="1069">
        <f t="shared" si="37"/>
        <v>179</v>
      </c>
      <c r="B194" s="468">
        <v>39906</v>
      </c>
      <c r="C194" s="4" t="s">
        <v>465</v>
      </c>
      <c r="D194" s="448">
        <f>[3]Reserve!$AF26</f>
        <v>1620512.0522977025</v>
      </c>
      <c r="E194" s="815">
        <v>0</v>
      </c>
      <c r="F194" s="581">
        <f t="shared" si="44"/>
        <v>1620512.0522977025</v>
      </c>
      <c r="G194" s="625">
        <f t="shared" si="48"/>
        <v>0.1071</v>
      </c>
      <c r="H194" s="625">
        <f t="shared" si="49"/>
        <v>0.49090457251500325</v>
      </c>
      <c r="I194" s="581">
        <f t="shared" si="45"/>
        <v>85199.846740510591</v>
      </c>
      <c r="J194" s="106"/>
      <c r="K194" s="448">
        <f>[3]Reserve!$D26</f>
        <v>1495751.7330012745</v>
      </c>
      <c r="L194" s="558">
        <f t="shared" si="46"/>
        <v>0.1071</v>
      </c>
      <c r="M194" s="558">
        <f t="shared" si="46"/>
        <v>0.49090457251500325</v>
      </c>
      <c r="N194" s="394">
        <f t="shared" si="47"/>
        <v>78640.463199807316</v>
      </c>
      <c r="P194" s="875"/>
      <c r="S194" s="625"/>
      <c r="T194" s="625"/>
    </row>
    <row r="195" spans="1:20">
      <c r="A195" s="1069">
        <f t="shared" si="37"/>
        <v>180</v>
      </c>
      <c r="B195" s="468">
        <v>39907</v>
      </c>
      <c r="C195" s="4" t="s">
        <v>520</v>
      </c>
      <c r="D195" s="448">
        <f>[3]Reserve!$AF27</f>
        <v>587833.5493327009</v>
      </c>
      <c r="E195" s="815">
        <v>0</v>
      </c>
      <c r="F195" s="581">
        <f t="shared" si="44"/>
        <v>587833.5493327009</v>
      </c>
      <c r="G195" s="625">
        <f t="shared" si="48"/>
        <v>0.1071</v>
      </c>
      <c r="H195" s="625">
        <f t="shared" si="49"/>
        <v>0.49090457251500325</v>
      </c>
      <c r="I195" s="581">
        <f t="shared" si="45"/>
        <v>30905.865982955202</v>
      </c>
      <c r="J195" s="106"/>
      <c r="K195" s="448">
        <f>[3]Reserve!$D27</f>
        <v>565086.84648060636</v>
      </c>
      <c r="L195" s="558">
        <f t="shared" si="46"/>
        <v>0.1071</v>
      </c>
      <c r="M195" s="558">
        <f t="shared" si="46"/>
        <v>0.49090457251500325</v>
      </c>
      <c r="N195" s="394">
        <f t="shared" si="47"/>
        <v>29709.938069859767</v>
      </c>
      <c r="P195" s="875"/>
      <c r="S195" s="625"/>
      <c r="T195" s="625"/>
    </row>
    <row r="196" spans="1:20">
      <c r="A196" s="1069">
        <f t="shared" si="37"/>
        <v>181</v>
      </c>
      <c r="B196" s="468">
        <v>39908</v>
      </c>
      <c r="C196" s="4" t="s">
        <v>184</v>
      </c>
      <c r="D196" s="448">
        <f>[3]Reserve!$AF28</f>
        <v>90849277.140440717</v>
      </c>
      <c r="E196" s="815">
        <v>0</v>
      </c>
      <c r="F196" s="581">
        <f t="shared" si="44"/>
        <v>90849277.140440717</v>
      </c>
      <c r="G196" s="625">
        <f t="shared" si="48"/>
        <v>0.1071</v>
      </c>
      <c r="H196" s="625">
        <f t="shared" si="49"/>
        <v>0.49090457251500325</v>
      </c>
      <c r="I196" s="581">
        <f t="shared" si="45"/>
        <v>4776480.6672537792</v>
      </c>
      <c r="J196" s="106"/>
      <c r="K196" s="448">
        <f>[3]Reserve!$D28</f>
        <v>86746968.751971349</v>
      </c>
      <c r="L196" s="558">
        <f t="shared" si="46"/>
        <v>0.1071</v>
      </c>
      <c r="M196" s="558">
        <f t="shared" si="46"/>
        <v>0.49090457251500325</v>
      </c>
      <c r="N196" s="394">
        <f t="shared" si="47"/>
        <v>4560798.1948622121</v>
      </c>
      <c r="P196" s="875"/>
      <c r="S196" s="625"/>
      <c r="T196" s="625"/>
    </row>
    <row r="197" spans="1:20">
      <c r="A197" s="1069">
        <f t="shared" si="37"/>
        <v>182</v>
      </c>
      <c r="B197" s="468">
        <v>39909</v>
      </c>
      <c r="C197" s="4" t="s">
        <v>352</v>
      </c>
      <c r="D197" s="448">
        <f>[3]Reserve!$AF29</f>
        <v>1098665.8199999996</v>
      </c>
      <c r="E197" s="815">
        <v>0</v>
      </c>
      <c r="F197" s="581">
        <f t="shared" si="44"/>
        <v>1098665.8199999996</v>
      </c>
      <c r="G197" s="625">
        <f t="shared" si="48"/>
        <v>0.1071</v>
      </c>
      <c r="H197" s="625">
        <f t="shared" si="49"/>
        <v>0.49090457251500325</v>
      </c>
      <c r="I197" s="581">
        <f t="shared" si="45"/>
        <v>57763.322000792541</v>
      </c>
      <c r="J197" s="106"/>
      <c r="K197" s="448">
        <f>[3]Reserve!$D29</f>
        <v>1098665.8199999998</v>
      </c>
      <c r="L197" s="558">
        <f t="shared" si="46"/>
        <v>0.1071</v>
      </c>
      <c r="M197" s="558">
        <f t="shared" si="46"/>
        <v>0.49090457251500325</v>
      </c>
      <c r="N197" s="394">
        <f t="shared" si="47"/>
        <v>57763.322000792556</v>
      </c>
      <c r="P197" s="875"/>
      <c r="S197" s="625"/>
      <c r="T197" s="625"/>
    </row>
    <row r="198" spans="1:20" s="1058" customFormat="1">
      <c r="A198" s="1069">
        <f t="shared" si="37"/>
        <v>183</v>
      </c>
      <c r="B198" s="1061">
        <v>39924</v>
      </c>
      <c r="C198" s="4" t="s">
        <v>1456</v>
      </c>
      <c r="D198" s="448">
        <f>[3]Reserve!$AF30</f>
        <v>0</v>
      </c>
      <c r="E198" s="815">
        <v>0</v>
      </c>
      <c r="F198" s="581">
        <f t="shared" ref="F198" si="50">D198+E198</f>
        <v>0</v>
      </c>
      <c r="G198" s="625">
        <f t="shared" si="48"/>
        <v>0.1071</v>
      </c>
      <c r="H198" s="625">
        <f t="shared" si="49"/>
        <v>0.49090457251500325</v>
      </c>
      <c r="I198" s="581">
        <f t="shared" ref="I198" si="51">F198*G198*H198</f>
        <v>0</v>
      </c>
      <c r="J198" s="106"/>
      <c r="K198" s="448">
        <f>[3]Reserve!$D30</f>
        <v>0</v>
      </c>
      <c r="L198" s="558">
        <f t="shared" ref="L198" si="52">G198</f>
        <v>0.1071</v>
      </c>
      <c r="M198" s="558">
        <f t="shared" ref="M198" si="53">H198</f>
        <v>0.49090457251500325</v>
      </c>
      <c r="N198" s="394">
        <f t="shared" ref="N198" si="54">K198*L198*M198</f>
        <v>0</v>
      </c>
      <c r="P198" s="875"/>
      <c r="S198" s="625"/>
      <c r="T198" s="625"/>
    </row>
    <row r="199" spans="1:20">
      <c r="A199" s="1069">
        <f t="shared" si="37"/>
        <v>184</v>
      </c>
      <c r="B199" s="468"/>
      <c r="C199" s="4" t="s">
        <v>1164</v>
      </c>
      <c r="D199" s="448">
        <f>[3]Reserve!$AF31</f>
        <v>0</v>
      </c>
      <c r="E199" s="1146">
        <v>0</v>
      </c>
      <c r="F199" s="496">
        <f t="shared" si="44"/>
        <v>0</v>
      </c>
      <c r="G199" s="571">
        <f t="shared" si="48"/>
        <v>0.1071</v>
      </c>
      <c r="H199" s="571">
        <f t="shared" si="49"/>
        <v>0.49090457251500325</v>
      </c>
      <c r="I199" s="1144">
        <f t="shared" si="45"/>
        <v>0</v>
      </c>
      <c r="J199" s="106"/>
      <c r="K199" s="448">
        <f>[3]Reserve!$D31</f>
        <v>0</v>
      </c>
      <c r="L199" s="557">
        <f>G199</f>
        <v>0.1071</v>
      </c>
      <c r="M199" s="557">
        <f>H199</f>
        <v>0.49090457251500325</v>
      </c>
      <c r="N199" s="395">
        <f t="shared" si="47"/>
        <v>0</v>
      </c>
      <c r="P199" s="875"/>
      <c r="S199" s="625"/>
      <c r="T199" s="625"/>
    </row>
    <row r="200" spans="1:20">
      <c r="A200" s="1069">
        <f t="shared" si="37"/>
        <v>185</v>
      </c>
      <c r="B200" s="510"/>
      <c r="C200" s="4"/>
      <c r="D200" s="1148"/>
      <c r="E200" s="1148"/>
      <c r="F200" s="1148"/>
      <c r="G200" s="1131"/>
      <c r="H200" s="1131"/>
      <c r="I200" s="106"/>
      <c r="J200" s="106"/>
      <c r="K200" s="106"/>
    </row>
    <row r="201" spans="1:20" ht="15.75" thickBot="1">
      <c r="A201" s="1069">
        <f t="shared" si="37"/>
        <v>186</v>
      </c>
      <c r="B201" s="510"/>
      <c r="C201" s="247" t="s">
        <v>1369</v>
      </c>
      <c r="D201" s="428">
        <f>SUM(D175:D199)</f>
        <v>139540563.44654906</v>
      </c>
      <c r="E201" s="428">
        <f>SUM(E175:E199)</f>
        <v>0</v>
      </c>
      <c r="F201" s="428">
        <f>SUM(F175:F199)</f>
        <v>139540563.44654906</v>
      </c>
      <c r="G201" s="1131"/>
      <c r="H201" s="1131"/>
      <c r="I201" s="428">
        <f>SUM(I175:I199)</f>
        <v>7171719.8560881075</v>
      </c>
      <c r="J201" s="106"/>
      <c r="K201" s="428">
        <f>SUM(K175:K199)</f>
        <v>132062003.24577695</v>
      </c>
      <c r="N201" s="428">
        <f>SUM(N175:N199)</f>
        <v>6783719.3788349722</v>
      </c>
      <c r="P201" s="1058"/>
      <c r="Q201" s="1058"/>
    </row>
    <row r="202" spans="1:20" ht="15.75" thickTop="1">
      <c r="A202" s="1069">
        <f t="shared" si="37"/>
        <v>187</v>
      </c>
      <c r="B202" s="406"/>
      <c r="D202" s="809"/>
      <c r="E202" s="106"/>
      <c r="F202" s="106"/>
      <c r="G202" s="1131"/>
      <c r="H202" s="1131"/>
      <c r="I202" s="106"/>
      <c r="J202" s="106"/>
      <c r="K202" s="106"/>
      <c r="P202" s="106"/>
      <c r="Q202" s="106"/>
    </row>
    <row r="203" spans="1:20" ht="15.75">
      <c r="A203" s="1069">
        <f t="shared" si="37"/>
        <v>188</v>
      </c>
      <c r="B203" s="419" t="s">
        <v>9</v>
      </c>
      <c r="D203" s="809"/>
      <c r="E203" s="106"/>
      <c r="F203" s="106"/>
      <c r="G203" s="1131"/>
      <c r="H203" s="1131"/>
      <c r="I203" s="106"/>
      <c r="J203" s="106"/>
      <c r="K203" s="106"/>
    </row>
    <row r="204" spans="1:20">
      <c r="A204" s="1069">
        <f t="shared" si="37"/>
        <v>189</v>
      </c>
      <c r="B204" s="406"/>
      <c r="C204" s="106"/>
      <c r="D204" s="809"/>
      <c r="E204" s="106"/>
      <c r="F204" s="106"/>
      <c r="G204" s="1131"/>
      <c r="H204" s="1131"/>
      <c r="I204" s="106"/>
      <c r="J204" s="106"/>
      <c r="K204" s="106"/>
      <c r="P204" s="771"/>
    </row>
    <row r="205" spans="1:20">
      <c r="A205" s="1069">
        <f t="shared" si="37"/>
        <v>190</v>
      </c>
      <c r="B205" s="510"/>
      <c r="C205" s="813" t="s">
        <v>309</v>
      </c>
      <c r="D205" s="809"/>
      <c r="E205" s="106"/>
      <c r="F205" s="106"/>
      <c r="G205" s="1131"/>
      <c r="H205" s="1131"/>
      <c r="I205" s="106"/>
      <c r="J205" s="106"/>
      <c r="K205" s="106"/>
    </row>
    <row r="206" spans="1:20">
      <c r="A206" s="1069">
        <f t="shared" si="37"/>
        <v>191</v>
      </c>
      <c r="B206" s="685">
        <v>38900</v>
      </c>
      <c r="C206" s="115" t="s">
        <v>300</v>
      </c>
      <c r="D206" s="448">
        <f>[3]Reserve!$AF36</f>
        <v>0</v>
      </c>
      <c r="E206" s="448">
        <v>0</v>
      </c>
      <c r="F206" s="448">
        <f t="shared" ref="F206:F226" si="55">D206+E206</f>
        <v>0</v>
      </c>
      <c r="G206" s="625">
        <f>Allocation!$C$15</f>
        <v>0.1086</v>
      </c>
      <c r="H206" s="625">
        <f>Allocation!$D$15</f>
        <v>0.52599015110063552</v>
      </c>
      <c r="I206" s="448">
        <f t="shared" ref="I206:I226" si="56">F206*G206*H206</f>
        <v>0</v>
      </c>
      <c r="J206" s="106"/>
      <c r="K206" s="448">
        <f>[3]Reserve!$D36</f>
        <v>0</v>
      </c>
      <c r="L206" s="422">
        <f>G206</f>
        <v>0.1086</v>
      </c>
      <c r="M206" s="422">
        <f>H206</f>
        <v>0.52599015110063552</v>
      </c>
      <c r="N206" s="407">
        <f>K206*L206*M206</f>
        <v>0</v>
      </c>
      <c r="P206" s="875"/>
      <c r="S206" s="625"/>
      <c r="T206" s="625"/>
    </row>
    <row r="207" spans="1:20">
      <c r="A207" s="1069">
        <f t="shared" si="37"/>
        <v>192</v>
      </c>
      <c r="B207" s="685">
        <v>38910</v>
      </c>
      <c r="C207" s="115" t="s">
        <v>1220</v>
      </c>
      <c r="D207" s="448">
        <f>[3]Reserve!$AF37</f>
        <v>0</v>
      </c>
      <c r="E207" s="581">
        <v>0</v>
      </c>
      <c r="F207" s="581">
        <f t="shared" si="55"/>
        <v>0</v>
      </c>
      <c r="G207" s="625">
        <v>1</v>
      </c>
      <c r="H207" s="625">
        <f>Allocation!$E$21</f>
        <v>1.083947E-2</v>
      </c>
      <c r="I207" s="581">
        <f t="shared" si="56"/>
        <v>0</v>
      </c>
      <c r="J207" s="106"/>
      <c r="K207" s="448">
        <f>[3]Reserve!$D37</f>
        <v>0</v>
      </c>
      <c r="L207" s="422">
        <f t="shared" ref="L207:L226" si="57">G207</f>
        <v>1</v>
      </c>
      <c r="M207" s="422">
        <f t="shared" ref="M207:M226" si="58">H207</f>
        <v>1.083947E-2</v>
      </c>
      <c r="N207" s="390">
        <f t="shared" ref="N207:N226" si="59">K207*L207*M207</f>
        <v>0</v>
      </c>
      <c r="P207" s="875"/>
      <c r="S207" s="625"/>
      <c r="T207" s="625"/>
    </row>
    <row r="208" spans="1:20">
      <c r="A208" s="1069">
        <f t="shared" si="37"/>
        <v>193</v>
      </c>
      <c r="B208" s="685">
        <v>39000</v>
      </c>
      <c r="C208" s="115" t="s">
        <v>874</v>
      </c>
      <c r="D208" s="448">
        <f>[3]Reserve!$AF38</f>
        <v>3821156.646319584</v>
      </c>
      <c r="E208" s="581">
        <v>0</v>
      </c>
      <c r="F208" s="581">
        <f t="shared" si="55"/>
        <v>3821156.646319584</v>
      </c>
      <c r="G208" s="625">
        <f>$G$206</f>
        <v>0.1086</v>
      </c>
      <c r="H208" s="625">
        <f>$H$206</f>
        <v>0.52599015110063552</v>
      </c>
      <c r="I208" s="581">
        <f t="shared" si="56"/>
        <v>218274.13672896434</v>
      </c>
      <c r="J208" s="106"/>
      <c r="K208" s="448">
        <f>[3]Reserve!$D38</f>
        <v>3630142.9990200689</v>
      </c>
      <c r="L208" s="422">
        <f t="shared" si="57"/>
        <v>0.1086</v>
      </c>
      <c r="M208" s="422">
        <f t="shared" si="58"/>
        <v>0.52599015110063552</v>
      </c>
      <c r="N208" s="390">
        <f t="shared" si="59"/>
        <v>207362.95385246276</v>
      </c>
      <c r="P208" s="875"/>
      <c r="S208" s="625"/>
      <c r="T208" s="625"/>
    </row>
    <row r="209" spans="1:20">
      <c r="A209" s="1069">
        <f t="shared" si="37"/>
        <v>194</v>
      </c>
      <c r="B209" s="685">
        <v>39009</v>
      </c>
      <c r="C209" s="115" t="s">
        <v>1056</v>
      </c>
      <c r="D209" s="448">
        <f>[3]Reserve!$AF39</f>
        <v>3884585.6510734996</v>
      </c>
      <c r="E209" s="581">
        <v>0</v>
      </c>
      <c r="F209" s="581">
        <f t="shared" si="55"/>
        <v>3884585.6510734996</v>
      </c>
      <c r="G209" s="625">
        <f>$G$206</f>
        <v>0.1086</v>
      </c>
      <c r="H209" s="625">
        <f>$H$206</f>
        <v>0.52599015110063552</v>
      </c>
      <c r="I209" s="581">
        <f t="shared" si="56"/>
        <v>221897.36198186607</v>
      </c>
      <c r="J209" s="106"/>
      <c r="K209" s="448">
        <f>[3]Reserve!$D39</f>
        <v>3814736.0932109994</v>
      </c>
      <c r="L209" s="422">
        <f t="shared" si="57"/>
        <v>0.1086</v>
      </c>
      <c r="M209" s="422">
        <f t="shared" si="58"/>
        <v>0.52599015110063552</v>
      </c>
      <c r="N209" s="390">
        <f t="shared" si="59"/>
        <v>217907.37848877325</v>
      </c>
      <c r="P209" s="875"/>
      <c r="S209" s="625"/>
      <c r="T209" s="625"/>
    </row>
    <row r="210" spans="1:20">
      <c r="A210" s="1069">
        <f t="shared" ref="A210:A230" si="60">A209+1</f>
        <v>195</v>
      </c>
      <c r="B210" s="685">
        <v>39010</v>
      </c>
      <c r="C210" s="115" t="s">
        <v>1221</v>
      </c>
      <c r="D210" s="448">
        <f>[3]Reserve!$AF40</f>
        <v>3557031.6900565019</v>
      </c>
      <c r="E210" s="581">
        <v>0</v>
      </c>
      <c r="F210" s="581">
        <f t="shared" si="55"/>
        <v>3557031.6900565019</v>
      </c>
      <c r="G210" s="625">
        <v>1</v>
      </c>
      <c r="H210" s="625">
        <f>$H$207</f>
        <v>1.083947E-2</v>
      </c>
      <c r="I210" s="581">
        <f t="shared" si="56"/>
        <v>38556.338293416753</v>
      </c>
      <c r="J210" s="106"/>
      <c r="K210" s="448">
        <f>[3]Reserve!$D40</f>
        <v>3400213.5990710007</v>
      </c>
      <c r="L210" s="422">
        <f t="shared" si="57"/>
        <v>1</v>
      </c>
      <c r="M210" s="422">
        <f t="shared" si="58"/>
        <v>1.083947E-2</v>
      </c>
      <c r="N210" s="390">
        <f t="shared" si="59"/>
        <v>36856.513300722145</v>
      </c>
      <c r="P210" s="875"/>
      <c r="S210" s="625"/>
      <c r="T210" s="625"/>
    </row>
    <row r="211" spans="1:20">
      <c r="A211" s="1069">
        <f t="shared" si="60"/>
        <v>196</v>
      </c>
      <c r="B211" s="685">
        <v>39100</v>
      </c>
      <c r="C211" s="115" t="s">
        <v>796</v>
      </c>
      <c r="D211" s="448">
        <f>[3]Reserve!$AF41</f>
        <v>492197.54099577921</v>
      </c>
      <c r="E211" s="581">
        <v>0</v>
      </c>
      <c r="F211" s="581">
        <f t="shared" si="55"/>
        <v>492197.54099577921</v>
      </c>
      <c r="G211" s="625">
        <f>$G$206</f>
        <v>0.1086</v>
      </c>
      <c r="H211" s="625">
        <f>$H$206</f>
        <v>0.52599015110063552</v>
      </c>
      <c r="I211" s="581">
        <f t="shared" si="56"/>
        <v>28115.569003026805</v>
      </c>
      <c r="J211" s="106"/>
      <c r="K211" s="448">
        <f>[3]Reserve!$D41</f>
        <v>446777.88771304733</v>
      </c>
      <c r="L211" s="422">
        <f t="shared" si="57"/>
        <v>0.1086</v>
      </c>
      <c r="M211" s="422">
        <f t="shared" si="58"/>
        <v>0.52599015110063552</v>
      </c>
      <c r="N211" s="390">
        <f t="shared" si="59"/>
        <v>25521.083477193686</v>
      </c>
      <c r="P211" s="875"/>
      <c r="S211" s="625"/>
      <c r="T211" s="625"/>
    </row>
    <row r="212" spans="1:20">
      <c r="A212" s="1069">
        <f t="shared" si="60"/>
        <v>197</v>
      </c>
      <c r="B212" s="685">
        <v>39103</v>
      </c>
      <c r="C212" s="115" t="s">
        <v>1367</v>
      </c>
      <c r="D212" s="448">
        <f>[3]Reserve!$AF42</f>
        <v>176.23000000000002</v>
      </c>
      <c r="E212" s="581">
        <v>0</v>
      </c>
      <c r="F212" s="581">
        <f t="shared" ref="F212" si="61">D212+E212</f>
        <v>176.23000000000002</v>
      </c>
      <c r="G212" s="625">
        <f>$G$206</f>
        <v>0.1086</v>
      </c>
      <c r="H212" s="625">
        <f>$H$206</f>
        <v>0.52599015110063552</v>
      </c>
      <c r="I212" s="581">
        <f t="shared" ref="I212" si="62">F212*G212*H212</f>
        <v>10.0667035340713</v>
      </c>
      <c r="J212" s="106"/>
      <c r="K212" s="448">
        <f>[3]Reserve!$D42</f>
        <v>176.23000000000002</v>
      </c>
      <c r="L212" s="422">
        <f t="shared" ref="L212" si="63">G212</f>
        <v>0.1086</v>
      </c>
      <c r="M212" s="422">
        <f t="shared" ref="M212" si="64">H212</f>
        <v>0.52599015110063552</v>
      </c>
      <c r="N212" s="390">
        <f t="shared" ref="N212" si="65">K212*L212*M212</f>
        <v>10.0667035340713</v>
      </c>
      <c r="P212" s="875"/>
      <c r="S212" s="625"/>
      <c r="T212" s="625"/>
    </row>
    <row r="213" spans="1:20">
      <c r="A213" s="1069">
        <f t="shared" si="60"/>
        <v>198</v>
      </c>
      <c r="B213" s="468">
        <v>39700</v>
      </c>
      <c r="C213" s="115" t="s">
        <v>454</v>
      </c>
      <c r="D213" s="448">
        <f>[3]Reserve!$AF43</f>
        <v>-5911075.909759501</v>
      </c>
      <c r="E213" s="581">
        <v>0</v>
      </c>
      <c r="F213" s="581">
        <f t="shared" si="55"/>
        <v>-5911075.909759501</v>
      </c>
      <c r="G213" s="625">
        <f>$G$206</f>
        <v>0.1086</v>
      </c>
      <c r="H213" s="625">
        <f>$H$206</f>
        <v>0.52599015110063552</v>
      </c>
      <c r="I213" s="581">
        <f t="shared" si="56"/>
        <v>-337655.61340827151</v>
      </c>
      <c r="J213" s="106"/>
      <c r="K213" s="448">
        <f>[3]Reserve!$D43</f>
        <v>-5968487.3654519999</v>
      </c>
      <c r="L213" s="422">
        <f t="shared" si="57"/>
        <v>0.1086</v>
      </c>
      <c r="M213" s="422">
        <f t="shared" si="58"/>
        <v>0.52599015110063552</v>
      </c>
      <c r="N213" s="390">
        <f t="shared" si="59"/>
        <v>-340935.10103192157</v>
      </c>
      <c r="P213" s="875"/>
      <c r="S213" s="625"/>
      <c r="T213" s="625"/>
    </row>
    <row r="214" spans="1:20">
      <c r="A214" s="1069">
        <f t="shared" si="60"/>
        <v>199</v>
      </c>
      <c r="B214" s="468">
        <v>39710</v>
      </c>
      <c r="C214" s="115" t="s">
        <v>1222</v>
      </c>
      <c r="D214" s="448">
        <f>[3]Reserve!$AF44</f>
        <v>119468.9930609999</v>
      </c>
      <c r="E214" s="581">
        <v>0</v>
      </c>
      <c r="F214" s="581">
        <f t="shared" si="55"/>
        <v>119468.9930609999</v>
      </c>
      <c r="G214" s="625">
        <v>1</v>
      </c>
      <c r="H214" s="625">
        <f>$H$207</f>
        <v>1.083947E-2</v>
      </c>
      <c r="I214" s="581">
        <f t="shared" si="56"/>
        <v>1294.9805662149165</v>
      </c>
      <c r="J214" s="106"/>
      <c r="K214" s="448">
        <f>[3]Reserve!$D44</f>
        <v>111524.07237599994</v>
      </c>
      <c r="L214" s="422">
        <f t="shared" si="57"/>
        <v>1</v>
      </c>
      <c r="M214" s="422">
        <f t="shared" si="58"/>
        <v>1.083947E-2</v>
      </c>
      <c r="N214" s="390">
        <f t="shared" si="59"/>
        <v>1208.86183679748</v>
      </c>
      <c r="P214" s="875"/>
      <c r="S214" s="625"/>
      <c r="T214" s="625"/>
    </row>
    <row r="215" spans="1:20">
      <c r="A215" s="1069">
        <f t="shared" si="60"/>
        <v>200</v>
      </c>
      <c r="B215" s="468">
        <v>39800</v>
      </c>
      <c r="C215" s="115" t="s">
        <v>666</v>
      </c>
      <c r="D215" s="448">
        <f>[3]Reserve!$AF45</f>
        <v>5216.0379003609105</v>
      </c>
      <c r="E215" s="581">
        <v>0</v>
      </c>
      <c r="F215" s="581">
        <f t="shared" si="55"/>
        <v>5216.0379003609105</v>
      </c>
      <c r="G215" s="625">
        <f t="shared" ref="G215:G222" si="66">$G$206</f>
        <v>0.1086</v>
      </c>
      <c r="H215" s="625">
        <f t="shared" ref="H215:H222" si="67">$H$206</f>
        <v>0.52599015110063552</v>
      </c>
      <c r="I215" s="581">
        <f t="shared" si="56"/>
        <v>297.95328358062199</v>
      </c>
      <c r="J215" s="106"/>
      <c r="K215" s="448">
        <f>[3]Reserve!$D45</f>
        <v>3517.4485534245491</v>
      </c>
      <c r="L215" s="422">
        <f t="shared" si="57"/>
        <v>0.1086</v>
      </c>
      <c r="M215" s="422">
        <f t="shared" si="58"/>
        <v>0.52599015110063552</v>
      </c>
      <c r="N215" s="390">
        <f t="shared" si="59"/>
        <v>200.92556195694766</v>
      </c>
      <c r="P215" s="875"/>
      <c r="S215" s="625"/>
      <c r="T215" s="625"/>
    </row>
    <row r="216" spans="1:20">
      <c r="A216" s="1069">
        <f t="shared" si="60"/>
        <v>201</v>
      </c>
      <c r="B216" s="468">
        <v>39900</v>
      </c>
      <c r="C216" s="115" t="s">
        <v>1173</v>
      </c>
      <c r="D216" s="448">
        <f>[3]Reserve!$AF46</f>
        <v>349573.02822399966</v>
      </c>
      <c r="E216" s="581">
        <v>0</v>
      </c>
      <c r="F216" s="581">
        <f t="shared" si="55"/>
        <v>349573.02822399966</v>
      </c>
      <c r="G216" s="625">
        <f t="shared" si="66"/>
        <v>0.1086</v>
      </c>
      <c r="H216" s="625">
        <f t="shared" si="67"/>
        <v>0.52599015110063552</v>
      </c>
      <c r="I216" s="581">
        <f t="shared" si="56"/>
        <v>19968.495935076564</v>
      </c>
      <c r="J216" s="106"/>
      <c r="K216" s="448">
        <f>[3]Reserve!$D46</f>
        <v>308488.45838599978</v>
      </c>
      <c r="L216" s="422">
        <f t="shared" si="57"/>
        <v>0.1086</v>
      </c>
      <c r="M216" s="422">
        <f t="shared" si="58"/>
        <v>0.52599015110063552</v>
      </c>
      <c r="N216" s="390">
        <f t="shared" si="59"/>
        <v>17621.641345142998</v>
      </c>
      <c r="P216" s="875"/>
      <c r="S216" s="625"/>
      <c r="T216" s="625"/>
    </row>
    <row r="217" spans="1:20">
      <c r="A217" s="1069">
        <f t="shared" si="60"/>
        <v>202</v>
      </c>
      <c r="B217" s="468">
        <v>39901</v>
      </c>
      <c r="C217" s="115" t="s">
        <v>489</v>
      </c>
      <c r="D217" s="448">
        <f>[3]Reserve!$AF47</f>
        <v>4200904.0768759176</v>
      </c>
      <c r="E217" s="581">
        <v>0</v>
      </c>
      <c r="F217" s="581">
        <f t="shared" si="55"/>
        <v>4200904.0768759176</v>
      </c>
      <c r="G217" s="625">
        <f t="shared" si="66"/>
        <v>0.1086</v>
      </c>
      <c r="H217" s="625">
        <f t="shared" si="67"/>
        <v>0.52599015110063552</v>
      </c>
      <c r="I217" s="581">
        <f t="shared" si="56"/>
        <v>239966.27087885904</v>
      </c>
      <c r="J217" s="106"/>
      <c r="K217" s="448">
        <f>[3]Reserve!$D47</f>
        <v>3810394.9551611799</v>
      </c>
      <c r="L217" s="422">
        <f t="shared" si="57"/>
        <v>0.1086</v>
      </c>
      <c r="M217" s="422">
        <f t="shared" si="58"/>
        <v>0.52599015110063552</v>
      </c>
      <c r="N217" s="390">
        <f t="shared" si="59"/>
        <v>217659.40169851045</v>
      </c>
      <c r="P217" s="875"/>
      <c r="S217" s="625"/>
      <c r="T217" s="625"/>
    </row>
    <row r="218" spans="1:20">
      <c r="A218" s="1069">
        <f t="shared" si="60"/>
        <v>203</v>
      </c>
      <c r="B218" s="468">
        <v>39902</v>
      </c>
      <c r="C218" s="115" t="s">
        <v>979</v>
      </c>
      <c r="D218" s="448">
        <f>[3]Reserve!$AF48</f>
        <v>1153376.2904887816</v>
      </c>
      <c r="E218" s="581">
        <v>0</v>
      </c>
      <c r="F218" s="581">
        <f t="shared" si="55"/>
        <v>1153376.2904887816</v>
      </c>
      <c r="G218" s="625">
        <f t="shared" si="66"/>
        <v>0.1086</v>
      </c>
      <c r="H218" s="625">
        <f t="shared" si="67"/>
        <v>0.52599015110063552</v>
      </c>
      <c r="I218" s="581">
        <f t="shared" si="56"/>
        <v>65883.772227075198</v>
      </c>
      <c r="J218" s="106"/>
      <c r="K218" s="448">
        <f>[3]Reserve!$D48</f>
        <v>1071176.4286662876</v>
      </c>
      <c r="L218" s="422">
        <f t="shared" si="57"/>
        <v>0.1086</v>
      </c>
      <c r="M218" s="422">
        <f t="shared" si="58"/>
        <v>0.52599015110063552</v>
      </c>
      <c r="N218" s="390">
        <f t="shared" si="59"/>
        <v>61188.308120460701</v>
      </c>
      <c r="P218" s="875"/>
      <c r="S218" s="625"/>
      <c r="T218" s="625"/>
    </row>
    <row r="219" spans="1:20">
      <c r="A219" s="1069">
        <f t="shared" si="60"/>
        <v>204</v>
      </c>
      <c r="B219" s="468">
        <v>39903</v>
      </c>
      <c r="C219" s="115" t="s">
        <v>1022</v>
      </c>
      <c r="D219" s="448">
        <f>[3]Reserve!$AF49</f>
        <v>139676.65187023746</v>
      </c>
      <c r="E219" s="581">
        <v>0</v>
      </c>
      <c r="F219" s="581">
        <f t="shared" si="55"/>
        <v>139676.65187023746</v>
      </c>
      <c r="G219" s="625">
        <f t="shared" si="66"/>
        <v>0.1086</v>
      </c>
      <c r="H219" s="625">
        <f t="shared" si="67"/>
        <v>0.52599015110063552</v>
      </c>
      <c r="I219" s="581">
        <f t="shared" si="56"/>
        <v>7978.6837939588377</v>
      </c>
      <c r="J219" s="106"/>
      <c r="K219" s="448">
        <f>[3]Reserve!$D49</f>
        <v>117108.14220324624</v>
      </c>
      <c r="L219" s="422">
        <f t="shared" si="57"/>
        <v>0.1086</v>
      </c>
      <c r="M219" s="422">
        <f t="shared" si="58"/>
        <v>0.52599015110063552</v>
      </c>
      <c r="N219" s="390">
        <f t="shared" si="59"/>
        <v>6689.5134142083825</v>
      </c>
      <c r="P219" s="875"/>
      <c r="S219" s="625"/>
      <c r="T219" s="625"/>
    </row>
    <row r="220" spans="1:20">
      <c r="A220" s="1069">
        <f t="shared" si="60"/>
        <v>205</v>
      </c>
      <c r="B220" s="468">
        <v>39906</v>
      </c>
      <c r="C220" s="115" t="s">
        <v>465</v>
      </c>
      <c r="D220" s="448">
        <f>[3]Reserve!$AF50</f>
        <v>18642.191809181691</v>
      </c>
      <c r="E220" s="581">
        <v>0</v>
      </c>
      <c r="F220" s="581">
        <f t="shared" si="55"/>
        <v>18642.191809181691</v>
      </c>
      <c r="G220" s="625">
        <f t="shared" si="66"/>
        <v>0.1086</v>
      </c>
      <c r="H220" s="625">
        <f t="shared" si="67"/>
        <v>0.52599015110063552</v>
      </c>
      <c r="I220" s="581">
        <f t="shared" si="56"/>
        <v>1064.8891685202539</v>
      </c>
      <c r="J220" s="106"/>
      <c r="K220" s="448">
        <f>[3]Reserve!$D50</f>
        <v>-35212.885007407509</v>
      </c>
      <c r="L220" s="422">
        <f t="shared" si="57"/>
        <v>0.1086</v>
      </c>
      <c r="M220" s="422">
        <f t="shared" si="58"/>
        <v>0.52599015110063552</v>
      </c>
      <c r="N220" s="390">
        <f t="shared" si="59"/>
        <v>-2011.4490946428839</v>
      </c>
      <c r="P220" s="875"/>
      <c r="S220" s="625"/>
      <c r="T220" s="625"/>
    </row>
    <row r="221" spans="1:20">
      <c r="A221" s="1069">
        <f t="shared" si="60"/>
        <v>206</v>
      </c>
      <c r="B221" s="468">
        <v>39907</v>
      </c>
      <c r="C221" s="115" t="s">
        <v>520</v>
      </c>
      <c r="D221" s="448">
        <f>[3]Reserve!$AF51</f>
        <v>1071.4549209999916</v>
      </c>
      <c r="E221" s="581">
        <v>0</v>
      </c>
      <c r="F221" s="581">
        <f t="shared" si="55"/>
        <v>1071.4549209999916</v>
      </c>
      <c r="G221" s="625">
        <f t="shared" si="66"/>
        <v>0.1086</v>
      </c>
      <c r="H221" s="625">
        <f t="shared" si="67"/>
        <v>0.52599015110063552</v>
      </c>
      <c r="I221" s="581">
        <f t="shared" si="56"/>
        <v>61.204216307261532</v>
      </c>
      <c r="J221" s="106"/>
      <c r="K221" s="448">
        <f>[3]Reserve!$D51</f>
        <v>-5186.6554505000086</v>
      </c>
      <c r="L221" s="422">
        <f t="shared" si="57"/>
        <v>0.1086</v>
      </c>
      <c r="M221" s="422">
        <f t="shared" si="58"/>
        <v>0.52599015110063552</v>
      </c>
      <c r="N221" s="390">
        <f t="shared" si="59"/>
        <v>-296.27488369493619</v>
      </c>
      <c r="P221" s="875"/>
      <c r="S221" s="625"/>
      <c r="T221" s="625"/>
    </row>
    <row r="222" spans="1:20">
      <c r="A222" s="1069">
        <f t="shared" si="60"/>
        <v>207</v>
      </c>
      <c r="B222" s="468">
        <v>39908</v>
      </c>
      <c r="C222" s="115" t="s">
        <v>184</v>
      </c>
      <c r="D222" s="448">
        <f>[3]Reserve!$AF52</f>
        <v>53760471.877220847</v>
      </c>
      <c r="E222" s="581">
        <v>0</v>
      </c>
      <c r="F222" s="581">
        <f t="shared" si="55"/>
        <v>53760471.877220847</v>
      </c>
      <c r="G222" s="625">
        <f t="shared" si="66"/>
        <v>0.1086</v>
      </c>
      <c r="H222" s="625">
        <f t="shared" si="67"/>
        <v>0.52599015110063552</v>
      </c>
      <c r="I222" s="581">
        <f t="shared" si="56"/>
        <v>3070934.1896371776</v>
      </c>
      <c r="J222" s="106"/>
      <c r="K222" s="448">
        <f>[3]Reserve!$D52</f>
        <v>50066514.513103761</v>
      </c>
      <c r="L222" s="422">
        <f t="shared" si="57"/>
        <v>0.1086</v>
      </c>
      <c r="M222" s="422">
        <f t="shared" si="58"/>
        <v>0.52599015110063552</v>
      </c>
      <c r="N222" s="390">
        <f t="shared" si="59"/>
        <v>2859925.9977738955</v>
      </c>
      <c r="P222" s="875"/>
      <c r="S222" s="625"/>
      <c r="T222" s="625"/>
    </row>
    <row r="223" spans="1:20">
      <c r="A223" s="1069">
        <f t="shared" si="60"/>
        <v>208</v>
      </c>
      <c r="B223" s="468">
        <v>39910</v>
      </c>
      <c r="C223" s="115" t="s">
        <v>1223</v>
      </c>
      <c r="D223" s="448">
        <f>[3]Reserve!$AF53</f>
        <v>68178.782623999999</v>
      </c>
      <c r="E223" s="581">
        <v>0</v>
      </c>
      <c r="F223" s="581">
        <f t="shared" si="55"/>
        <v>68178.782623999999</v>
      </c>
      <c r="G223" s="625">
        <v>1</v>
      </c>
      <c r="H223" s="625">
        <f>$H$207</f>
        <v>1.083947E-2</v>
      </c>
      <c r="I223" s="581">
        <f t="shared" si="56"/>
        <v>739.02186888936933</v>
      </c>
      <c r="J223" s="106"/>
      <c r="K223" s="448">
        <f>[3]Reserve!$D53</f>
        <v>62171.674985999976</v>
      </c>
      <c r="L223" s="422">
        <f t="shared" si="57"/>
        <v>1</v>
      </c>
      <c r="M223" s="422">
        <f t="shared" si="58"/>
        <v>1.083947E-2</v>
      </c>
      <c r="N223" s="390">
        <f t="shared" si="59"/>
        <v>673.90800586049716</v>
      </c>
      <c r="P223" s="875"/>
      <c r="S223" s="625"/>
      <c r="T223" s="625"/>
    </row>
    <row r="224" spans="1:20">
      <c r="A224" s="1069">
        <f t="shared" si="60"/>
        <v>209</v>
      </c>
      <c r="B224" s="468">
        <v>39916</v>
      </c>
      <c r="C224" s="115" t="s">
        <v>1224</v>
      </c>
      <c r="D224" s="448">
        <f>[3]Reserve!$AF54</f>
        <v>148061.35125750001</v>
      </c>
      <c r="E224" s="581">
        <v>0</v>
      </c>
      <c r="F224" s="581">
        <f t="shared" si="55"/>
        <v>148061.35125750001</v>
      </c>
      <c r="G224" s="625">
        <v>1</v>
      </c>
      <c r="H224" s="625">
        <f>$H$207</f>
        <v>1.083947E-2</v>
      </c>
      <c r="I224" s="581">
        <f t="shared" si="56"/>
        <v>1604.9065751151336</v>
      </c>
      <c r="J224" s="106"/>
      <c r="K224" s="448">
        <f>[3]Reserve!$D54</f>
        <v>137885.24300300007</v>
      </c>
      <c r="L224" s="422">
        <f t="shared" si="57"/>
        <v>1</v>
      </c>
      <c r="M224" s="422">
        <f t="shared" si="58"/>
        <v>1.083947E-2</v>
      </c>
      <c r="N224" s="390">
        <f t="shared" si="59"/>
        <v>1494.6029549737293</v>
      </c>
      <c r="P224" s="875"/>
      <c r="S224" s="625"/>
      <c r="T224" s="625"/>
    </row>
    <row r="225" spans="1:20">
      <c r="A225" s="1069">
        <f t="shared" si="60"/>
        <v>210</v>
      </c>
      <c r="B225" s="468">
        <v>39917</v>
      </c>
      <c r="C225" s="115" t="s">
        <v>1225</v>
      </c>
      <c r="D225" s="448">
        <f>[3]Reserve!$AF55</f>
        <v>45661.639016000016</v>
      </c>
      <c r="E225" s="581">
        <v>0</v>
      </c>
      <c r="F225" s="581">
        <f t="shared" si="55"/>
        <v>45661.639016000016</v>
      </c>
      <c r="G225" s="625">
        <v>1</v>
      </c>
      <c r="H225" s="625">
        <f>$H$207</f>
        <v>1.083947E-2</v>
      </c>
      <c r="I225" s="581">
        <f t="shared" si="56"/>
        <v>494.9479662647617</v>
      </c>
      <c r="J225" s="106"/>
      <c r="K225" s="448">
        <f>[3]Reserve!$D55</f>
        <v>42660.219451999998</v>
      </c>
      <c r="L225" s="422">
        <f t="shared" si="57"/>
        <v>1</v>
      </c>
      <c r="M225" s="422">
        <f t="shared" si="58"/>
        <v>1.083947E-2</v>
      </c>
      <c r="N225" s="390">
        <f t="shared" si="59"/>
        <v>462.41416894337044</v>
      </c>
      <c r="P225" s="875"/>
      <c r="S225" s="625"/>
      <c r="T225" s="625"/>
    </row>
    <row r="226" spans="1:20">
      <c r="A226" s="1069">
        <f t="shared" si="60"/>
        <v>211</v>
      </c>
      <c r="B226" s="468"/>
      <c r="C226" s="4" t="s">
        <v>1164</v>
      </c>
      <c r="D226" s="448">
        <f>[3]Reserve!$AF56</f>
        <v>0</v>
      </c>
      <c r="E226" s="496">
        <v>0</v>
      </c>
      <c r="F226" s="581">
        <f t="shared" si="55"/>
        <v>0</v>
      </c>
      <c r="G226" s="625">
        <f>$G$206</f>
        <v>0.1086</v>
      </c>
      <c r="H226" s="625">
        <f>$H$206</f>
        <v>0.52599015110063552</v>
      </c>
      <c r="I226" s="1144">
        <f t="shared" si="56"/>
        <v>0</v>
      </c>
      <c r="J226" s="106"/>
      <c r="K226" s="448">
        <f>[3]Reserve!$D56</f>
        <v>0</v>
      </c>
      <c r="L226" s="422">
        <f t="shared" si="57"/>
        <v>0.1086</v>
      </c>
      <c r="M226" s="422">
        <f t="shared" si="58"/>
        <v>0.52599015110063552</v>
      </c>
      <c r="N226" s="393">
        <f t="shared" si="59"/>
        <v>0</v>
      </c>
      <c r="P226" s="875"/>
      <c r="S226" s="625"/>
      <c r="T226" s="625"/>
    </row>
    <row r="227" spans="1:20">
      <c r="A227" s="1069">
        <f t="shared" si="60"/>
        <v>212</v>
      </c>
      <c r="B227" s="1"/>
      <c r="C227" s="4"/>
      <c r="D227" s="792"/>
      <c r="E227" s="789"/>
      <c r="F227" s="789"/>
    </row>
    <row r="228" spans="1:20" ht="15.75" thickBot="1">
      <c r="A228" s="1069">
        <f t="shared" si="60"/>
        <v>213</v>
      </c>
      <c r="B228" s="1"/>
      <c r="C228" s="247" t="s">
        <v>1370</v>
      </c>
      <c r="D228" s="420">
        <f>SUM(D206:D227)</f>
        <v>65854374.223954692</v>
      </c>
      <c r="E228" s="420">
        <f>SUM(E206:E227)</f>
        <v>0</v>
      </c>
      <c r="F228" s="420">
        <f>SUM(F206:F227)</f>
        <v>65854374.223954692</v>
      </c>
      <c r="I228" s="420">
        <f>SUM(I206:I227)</f>
        <v>3579487.1754195755</v>
      </c>
      <c r="K228" s="420">
        <f>SUM(K206:K227)</f>
        <v>61014601.058996104</v>
      </c>
      <c r="N228" s="420">
        <f>SUM(N206:N227)</f>
        <v>3311540.7456931765</v>
      </c>
      <c r="P228" s="1058"/>
      <c r="Q228" s="1058"/>
    </row>
    <row r="229" spans="1:20" ht="15.75" thickTop="1">
      <c r="A229" s="1069">
        <f t="shared" si="60"/>
        <v>214</v>
      </c>
      <c r="P229" s="106"/>
      <c r="Q229" s="106"/>
    </row>
    <row r="230" spans="1:20" ht="30.75" thickBot="1">
      <c r="A230" s="1069">
        <f t="shared" si="60"/>
        <v>215</v>
      </c>
      <c r="C230" s="512" t="s">
        <v>1166</v>
      </c>
      <c r="D230" s="420">
        <f>D228+D201+D170+D112</f>
        <v>382306010.50743961</v>
      </c>
      <c r="E230" s="420">
        <f>E228+E201+E170+E112</f>
        <v>0</v>
      </c>
      <c r="F230" s="420">
        <f>F228+F201+F170+F112</f>
        <v>382248503.99743962</v>
      </c>
      <c r="I230" s="420">
        <f>I228+I201+I170+I112</f>
        <v>185995468.26051512</v>
      </c>
      <c r="K230" s="420">
        <f>K228+K201+K170+K112</f>
        <v>364215642.71899176</v>
      </c>
      <c r="N230" s="420">
        <f>N228+N201+N170+N112</f>
        <v>179617428.08959511</v>
      </c>
    </row>
    <row r="231" spans="1:20" ht="15.75" thickTop="1"/>
  </sheetData>
  <mergeCells count="4">
    <mergeCell ref="A1:N1"/>
    <mergeCell ref="A2:N2"/>
    <mergeCell ref="A3:N3"/>
    <mergeCell ref="A4:N4"/>
  </mergeCells>
  <phoneticPr fontId="24" type="noConversion"/>
  <pageMargins left="0.75" right="0.66" top="1" bottom="0.94" header="0.5" footer="0.5"/>
  <pageSetup scale="56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4" max="13" man="1"/>
    <brk id="147" max="13" man="1"/>
    <brk id="170" max="13" man="1"/>
    <brk id="20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31"/>
  <sheetViews>
    <sheetView view="pageBreakPreview" zoomScale="60" zoomScaleNormal="80" workbookViewId="0">
      <pane ySplit="12" topLeftCell="A184" activePane="bottomLeft" state="frozen"/>
      <selection activeCell="E206" sqref="E206"/>
      <selection pane="bottomLeft" activeCell="E206" sqref="E206"/>
    </sheetView>
  </sheetViews>
  <sheetFormatPr defaultRowHeight="15"/>
  <cols>
    <col min="1" max="1" width="4.77734375" customWidth="1"/>
    <col min="2" max="2" width="9.33203125" customWidth="1"/>
    <col min="3" max="3" width="34.33203125" customWidth="1"/>
    <col min="4" max="4" width="12.6640625" customWidth="1"/>
    <col min="5" max="5" width="11" style="76" customWidth="1"/>
    <col min="6" max="6" width="11.33203125" style="76" customWidth="1"/>
    <col min="7" max="7" width="11.109375" style="76" customWidth="1"/>
    <col min="8" max="8" width="12" bestFit="1" customWidth="1"/>
    <col min="9" max="9" width="3.21875" customWidth="1"/>
    <col min="10" max="10" width="4.33203125" customWidth="1"/>
    <col min="11" max="11" width="11.109375" customWidth="1"/>
    <col min="12" max="12" width="9.6640625" customWidth="1"/>
    <col min="13" max="13" width="13.88671875" customWidth="1"/>
  </cols>
  <sheetData>
    <row r="1" spans="1:13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</row>
    <row r="2" spans="1:13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</row>
    <row r="3" spans="1:13">
      <c r="A3" s="1246" t="s">
        <v>96</v>
      </c>
      <c r="B3" s="1246"/>
      <c r="C3" s="1246"/>
      <c r="D3" s="1246"/>
      <c r="E3" s="1246"/>
      <c r="F3" s="1246"/>
      <c r="G3" s="1246"/>
      <c r="H3" s="1246"/>
      <c r="I3" s="1246"/>
    </row>
    <row r="4" spans="1:13">
      <c r="A4" s="1246" t="str">
        <f>'Table of Contents'!A4:C4</f>
        <v>Forecasted Test Period: Twelve Months Ended May 31, 2017</v>
      </c>
      <c r="B4" s="1246"/>
      <c r="C4" s="1246"/>
      <c r="D4" s="1246"/>
      <c r="E4" s="1246"/>
      <c r="F4" s="1246"/>
      <c r="G4" s="1246"/>
      <c r="H4" s="1246"/>
      <c r="I4" s="1246"/>
    </row>
    <row r="5" spans="1:13" ht="15.75">
      <c r="A5" s="40"/>
      <c r="B5" s="40"/>
      <c r="C5" s="40"/>
      <c r="D5" s="772"/>
      <c r="E5" s="783"/>
      <c r="F5" s="77"/>
      <c r="G5" s="77"/>
      <c r="H5" s="1"/>
      <c r="I5" s="1"/>
    </row>
    <row r="6" spans="1:13" ht="15.75">
      <c r="A6" s="4" t="str">
        <f>'B.1 F '!A6</f>
        <v>Data:______Base Period__X___Forecasted Period</v>
      </c>
      <c r="B6" s="1"/>
      <c r="C6" s="1"/>
      <c r="D6" s="1"/>
      <c r="E6" s="77"/>
      <c r="F6" s="77"/>
      <c r="H6" s="927" t="s">
        <v>1514</v>
      </c>
      <c r="M6" s="772"/>
    </row>
    <row r="7" spans="1:13">
      <c r="A7" s="4" t="str">
        <f>'B.1 F '!A7</f>
        <v>Type of Filing:___X____Original________Updated ________Revised</v>
      </c>
      <c r="B7" s="4"/>
      <c r="C7" s="1"/>
      <c r="D7" s="1"/>
      <c r="E7" s="77"/>
      <c r="F7" s="77"/>
      <c r="H7" s="724" t="s">
        <v>715</v>
      </c>
      <c r="I7" s="4"/>
    </row>
    <row r="8" spans="1:13">
      <c r="A8" s="73" t="str">
        <f>'B.1 F '!A8</f>
        <v>Workpaper Reference No(s).</v>
      </c>
      <c r="B8" s="6"/>
      <c r="C8" s="6"/>
      <c r="D8" s="6"/>
      <c r="E8" s="485"/>
      <c r="F8" s="485"/>
      <c r="G8" s="84"/>
      <c r="H8" s="649" t="str">
        <f>'B.1 B'!F8</f>
        <v>Witness:   Waller</v>
      </c>
      <c r="I8" s="73"/>
    </row>
    <row r="9" spans="1:13">
      <c r="A9" s="70"/>
      <c r="B9" s="47"/>
      <c r="C9" s="47"/>
      <c r="D9" s="47"/>
      <c r="E9" s="958"/>
      <c r="F9" s="299"/>
      <c r="G9" s="46"/>
      <c r="H9" s="70"/>
      <c r="I9" s="70"/>
    </row>
    <row r="10" spans="1:13">
      <c r="A10" s="70"/>
      <c r="B10" s="47"/>
      <c r="C10" s="47"/>
      <c r="D10" s="949" t="s">
        <v>1373</v>
      </c>
      <c r="E10" s="102" t="s">
        <v>1306</v>
      </c>
      <c r="F10" s="299" t="s">
        <v>13</v>
      </c>
      <c r="G10" s="2" t="s">
        <v>11</v>
      </c>
      <c r="H10" s="70"/>
      <c r="I10" s="70"/>
    </row>
    <row r="11" spans="1:13">
      <c r="A11" s="4" t="s">
        <v>98</v>
      </c>
      <c r="B11" s="2" t="s">
        <v>273</v>
      </c>
      <c r="C11" s="2" t="s">
        <v>221</v>
      </c>
      <c r="D11" s="77" t="s">
        <v>1372</v>
      </c>
      <c r="E11" s="1111" t="s">
        <v>275</v>
      </c>
      <c r="F11" s="2" t="s">
        <v>14</v>
      </c>
      <c r="G11" s="101" t="s">
        <v>610</v>
      </c>
      <c r="H11" s="2" t="s">
        <v>12</v>
      </c>
      <c r="I11" s="2"/>
    </row>
    <row r="12" spans="1:13">
      <c r="A12" s="44" t="s">
        <v>104</v>
      </c>
      <c r="B12" s="44" t="s">
        <v>104</v>
      </c>
      <c r="C12" s="44" t="s">
        <v>304</v>
      </c>
      <c r="D12" s="778">
        <f>'B.2 F'!D10</f>
        <v>42886</v>
      </c>
      <c r="E12" s="257" t="s">
        <v>1021</v>
      </c>
      <c r="F12" s="257" t="s">
        <v>643</v>
      </c>
      <c r="G12" s="257" t="s">
        <v>643</v>
      </c>
      <c r="H12" s="44" t="s">
        <v>109</v>
      </c>
      <c r="I12" s="46"/>
      <c r="K12" s="578"/>
      <c r="L12" s="578"/>
    </row>
    <row r="13" spans="1:13">
      <c r="A13" s="46"/>
      <c r="B13" s="46"/>
      <c r="C13" s="46"/>
      <c r="D13" s="46"/>
      <c r="E13" s="46"/>
      <c r="F13" s="46"/>
      <c r="G13" s="46"/>
      <c r="H13" s="46"/>
      <c r="I13" s="46"/>
    </row>
    <row r="14" spans="1:13" ht="15.75">
      <c r="B14" s="129" t="s">
        <v>6</v>
      </c>
      <c r="E14" s="947"/>
    </row>
    <row r="15" spans="1:13">
      <c r="A15" s="2">
        <v>1</v>
      </c>
      <c r="B15" s="1"/>
      <c r="C15" s="17" t="s">
        <v>305</v>
      </c>
      <c r="D15" s="106"/>
      <c r="E15" s="1131"/>
    </row>
    <row r="16" spans="1:13">
      <c r="A16" s="2">
        <f>A15+1</f>
        <v>2</v>
      </c>
      <c r="B16" s="685">
        <v>30100</v>
      </c>
      <c r="C16" s="4" t="s">
        <v>299</v>
      </c>
      <c r="D16" s="448">
        <f>[3]Reserve!$BK84</f>
        <v>0</v>
      </c>
      <c r="E16" s="625">
        <v>1</v>
      </c>
      <c r="F16" s="623">
        <v>1</v>
      </c>
      <c r="G16" s="624">
        <f>$F$16</f>
        <v>1</v>
      </c>
      <c r="H16" s="385">
        <f>D16*E16*F16*G16</f>
        <v>0</v>
      </c>
      <c r="I16" s="82"/>
    </row>
    <row r="17" spans="1:8">
      <c r="A17" s="779">
        <f t="shared" ref="A17:A80" si="0">A16+1</f>
        <v>3</v>
      </c>
      <c r="B17" s="685">
        <v>30200</v>
      </c>
      <c r="C17" s="4" t="s">
        <v>158</v>
      </c>
      <c r="D17" s="448">
        <f>[3]Reserve!$BK85</f>
        <v>0</v>
      </c>
      <c r="E17" s="625">
        <v>1</v>
      </c>
      <c r="F17" s="624">
        <f>$F$16</f>
        <v>1</v>
      </c>
      <c r="G17" s="624">
        <f>$F$16</f>
        <v>1</v>
      </c>
      <c r="H17" s="394">
        <f>D17*E17*F17*G17</f>
        <v>0</v>
      </c>
    </row>
    <row r="18" spans="1:8">
      <c r="A18" s="948">
        <f t="shared" si="0"/>
        <v>4</v>
      </c>
      <c r="B18" s="685"/>
      <c r="C18" s="4"/>
      <c r="D18" s="1145"/>
      <c r="E18" s="625"/>
      <c r="F18" s="624"/>
      <c r="G18" s="624"/>
      <c r="H18" s="791"/>
    </row>
    <row r="19" spans="1:8">
      <c r="A19" s="948">
        <f t="shared" si="0"/>
        <v>5</v>
      </c>
      <c r="B19" s="468"/>
      <c r="C19" s="4" t="s">
        <v>1384</v>
      </c>
      <c r="D19" s="448">
        <f>SUM(D16:D18)</f>
        <v>0</v>
      </c>
      <c r="E19" s="625"/>
      <c r="F19" s="624"/>
      <c r="G19" s="624"/>
      <c r="H19" s="385">
        <f>SUM(H16:H18)</f>
        <v>0</v>
      </c>
    </row>
    <row r="20" spans="1:8">
      <c r="A20" s="948">
        <f t="shared" si="0"/>
        <v>6</v>
      </c>
      <c r="B20" s="468"/>
      <c r="C20" s="1"/>
      <c r="D20" s="581"/>
      <c r="E20" s="625"/>
      <c r="F20" s="624"/>
      <c r="G20" s="624"/>
      <c r="H20" s="394"/>
    </row>
    <row r="21" spans="1:8">
      <c r="A21" s="779">
        <f t="shared" si="0"/>
        <v>7</v>
      </c>
      <c r="B21" s="468"/>
      <c r="C21" s="17" t="s">
        <v>159</v>
      </c>
      <c r="D21" s="581"/>
      <c r="E21" s="625"/>
      <c r="F21" s="624"/>
      <c r="G21" s="624"/>
      <c r="H21" s="394"/>
    </row>
    <row r="22" spans="1:8">
      <c r="A22" s="948">
        <f t="shared" si="0"/>
        <v>8</v>
      </c>
      <c r="B22" s="685">
        <v>32540</v>
      </c>
      <c r="C22" s="4" t="s">
        <v>166</v>
      </c>
      <c r="D22" s="448">
        <f>[3]Reserve!$BK86</f>
        <v>0</v>
      </c>
      <c r="E22" s="625">
        <v>1</v>
      </c>
      <c r="F22" s="624">
        <f t="shared" ref="F22:G24" si="1">$F$16</f>
        <v>1</v>
      </c>
      <c r="G22" s="624">
        <f t="shared" si="1"/>
        <v>1</v>
      </c>
      <c r="H22" s="394">
        <f t="shared" ref="H22:H24" si="2">D22*E22*F22*G22</f>
        <v>0</v>
      </c>
    </row>
    <row r="23" spans="1:8">
      <c r="A23" s="1072">
        <f t="shared" si="0"/>
        <v>9</v>
      </c>
      <c r="B23" s="685">
        <v>33202</v>
      </c>
      <c r="C23" s="4" t="s">
        <v>612</v>
      </c>
      <c r="D23" s="448">
        <f>[3]Reserve!$BK87</f>
        <v>0</v>
      </c>
      <c r="E23" s="625">
        <v>1</v>
      </c>
      <c r="F23" s="624">
        <f t="shared" si="1"/>
        <v>1</v>
      </c>
      <c r="G23" s="624">
        <f t="shared" si="1"/>
        <v>1</v>
      </c>
      <c r="H23" s="394">
        <f t="shared" si="2"/>
        <v>0</v>
      </c>
    </row>
    <row r="24" spans="1:8">
      <c r="A24" s="1072">
        <f t="shared" si="0"/>
        <v>10</v>
      </c>
      <c r="B24" s="685">
        <v>33400</v>
      </c>
      <c r="C24" s="4" t="s">
        <v>1140</v>
      </c>
      <c r="D24" s="448">
        <f>[3]Reserve!$BK88</f>
        <v>0</v>
      </c>
      <c r="E24" s="625">
        <v>1</v>
      </c>
      <c r="F24" s="624">
        <f t="shared" si="1"/>
        <v>1</v>
      </c>
      <c r="G24" s="624">
        <f t="shared" si="1"/>
        <v>1</v>
      </c>
      <c r="H24" s="394">
        <f t="shared" si="2"/>
        <v>0</v>
      </c>
    </row>
    <row r="25" spans="1:8">
      <c r="A25" s="1072">
        <f t="shared" si="0"/>
        <v>11</v>
      </c>
      <c r="B25" s="685"/>
      <c r="C25" s="1"/>
      <c r="D25" s="1145"/>
      <c r="E25" s="625"/>
      <c r="F25" s="624"/>
      <c r="G25" s="624"/>
      <c r="H25" s="394"/>
    </row>
    <row r="26" spans="1:8">
      <c r="A26" s="1072">
        <f t="shared" si="0"/>
        <v>12</v>
      </c>
      <c r="B26" s="685"/>
      <c r="C26" s="1" t="s">
        <v>1383</v>
      </c>
      <c r="D26" s="448">
        <f>SUM(D22:D25)</f>
        <v>0</v>
      </c>
      <c r="E26" s="625"/>
      <c r="F26" s="624"/>
      <c r="G26" s="624"/>
      <c r="H26" s="385">
        <f>SUM(H22:H25)</f>
        <v>0</v>
      </c>
    </row>
    <row r="27" spans="1:8">
      <c r="A27" s="1072">
        <f t="shared" si="0"/>
        <v>13</v>
      </c>
      <c r="B27" s="685"/>
      <c r="C27" s="4"/>
      <c r="D27" s="581"/>
      <c r="E27" s="625"/>
      <c r="F27" s="624"/>
      <c r="G27" s="624"/>
      <c r="H27" s="394"/>
    </row>
    <row r="28" spans="1:8">
      <c r="A28" s="1072">
        <f t="shared" si="0"/>
        <v>14</v>
      </c>
      <c r="B28" s="685"/>
      <c r="C28" s="17" t="s">
        <v>284</v>
      </c>
      <c r="D28" s="581"/>
      <c r="E28" s="625"/>
      <c r="F28" s="624"/>
      <c r="G28" s="624"/>
      <c r="H28" s="394"/>
    </row>
    <row r="29" spans="1:8">
      <c r="A29" s="1072">
        <f t="shared" si="0"/>
        <v>15</v>
      </c>
      <c r="B29" s="685">
        <v>35010</v>
      </c>
      <c r="C29" s="4" t="s">
        <v>300</v>
      </c>
      <c r="D29" s="448">
        <f>[3]Reserve!$BK89</f>
        <v>0</v>
      </c>
      <c r="E29" s="625">
        <v>1</v>
      </c>
      <c r="F29" s="624">
        <f t="shared" ref="F29:G45" si="3">$F$16</f>
        <v>1</v>
      </c>
      <c r="G29" s="624">
        <f t="shared" si="3"/>
        <v>1</v>
      </c>
      <c r="H29" s="385">
        <f t="shared" ref="H29:H45" si="4">D29*E29*F29*G29</f>
        <v>0</v>
      </c>
    </row>
    <row r="30" spans="1:8">
      <c r="A30" s="1072">
        <f t="shared" si="0"/>
        <v>16</v>
      </c>
      <c r="B30" s="685">
        <v>35020</v>
      </c>
      <c r="C30" s="4" t="s">
        <v>809</v>
      </c>
      <c r="D30" s="448">
        <f>[3]Reserve!$BK90</f>
        <v>0</v>
      </c>
      <c r="E30" s="625">
        <v>1</v>
      </c>
      <c r="F30" s="624">
        <f t="shared" si="3"/>
        <v>1</v>
      </c>
      <c r="G30" s="624">
        <f t="shared" si="3"/>
        <v>1</v>
      </c>
      <c r="H30" s="394">
        <f t="shared" si="4"/>
        <v>0</v>
      </c>
    </row>
    <row r="31" spans="1:8">
      <c r="A31" s="1072">
        <f t="shared" si="0"/>
        <v>17</v>
      </c>
      <c r="B31" s="685">
        <v>35100</v>
      </c>
      <c r="C31" s="4" t="s">
        <v>988</v>
      </c>
      <c r="D31" s="448">
        <f>[3]Reserve!$BK91</f>
        <v>299.20037300000001</v>
      </c>
      <c r="E31" s="625">
        <v>1</v>
      </c>
      <c r="F31" s="624">
        <f t="shared" si="3"/>
        <v>1</v>
      </c>
      <c r="G31" s="624">
        <f t="shared" si="3"/>
        <v>1</v>
      </c>
      <c r="H31" s="394">
        <f t="shared" si="4"/>
        <v>299.20037300000001</v>
      </c>
    </row>
    <row r="32" spans="1:8">
      <c r="A32" s="1072">
        <f t="shared" si="0"/>
        <v>18</v>
      </c>
      <c r="B32" s="685">
        <v>35102</v>
      </c>
      <c r="C32" s="4" t="s">
        <v>285</v>
      </c>
      <c r="D32" s="448">
        <f>[3]Reserve!$BK92</f>
        <v>1931.0923800000003</v>
      </c>
      <c r="E32" s="625">
        <v>1</v>
      </c>
      <c r="F32" s="624">
        <f t="shared" si="3"/>
        <v>1</v>
      </c>
      <c r="G32" s="624">
        <f t="shared" si="3"/>
        <v>1</v>
      </c>
      <c r="H32" s="394">
        <f t="shared" si="4"/>
        <v>1931.0923800000003</v>
      </c>
    </row>
    <row r="33" spans="1:8">
      <c r="A33" s="1072">
        <f t="shared" si="0"/>
        <v>19</v>
      </c>
      <c r="B33" s="685">
        <v>35103</v>
      </c>
      <c r="C33" s="4" t="s">
        <v>601</v>
      </c>
      <c r="D33" s="448">
        <f>[3]Reserve!$BK93</f>
        <v>212.87309600000006</v>
      </c>
      <c r="E33" s="625">
        <v>1</v>
      </c>
      <c r="F33" s="624">
        <f t="shared" si="3"/>
        <v>1</v>
      </c>
      <c r="G33" s="624">
        <f t="shared" si="3"/>
        <v>1</v>
      </c>
      <c r="H33" s="394">
        <f t="shared" si="4"/>
        <v>212.87309600000006</v>
      </c>
    </row>
    <row r="34" spans="1:8">
      <c r="A34" s="1072">
        <f t="shared" si="0"/>
        <v>20</v>
      </c>
      <c r="B34" s="685">
        <v>35104</v>
      </c>
      <c r="C34" s="4" t="s">
        <v>602</v>
      </c>
      <c r="D34" s="448">
        <f>[3]Reserve!$BK94</f>
        <v>1786.7528900000004</v>
      </c>
      <c r="E34" s="625">
        <v>1</v>
      </c>
      <c r="F34" s="624">
        <f t="shared" si="3"/>
        <v>1</v>
      </c>
      <c r="G34" s="624">
        <f t="shared" si="3"/>
        <v>1</v>
      </c>
      <c r="H34" s="394">
        <f t="shared" si="4"/>
        <v>1786.7528900000004</v>
      </c>
    </row>
    <row r="35" spans="1:8">
      <c r="A35" s="1072">
        <f t="shared" si="0"/>
        <v>21</v>
      </c>
      <c r="B35" s="685">
        <v>35200</v>
      </c>
      <c r="C35" s="4" t="s">
        <v>455</v>
      </c>
      <c r="D35" s="448">
        <f>[3]Reserve!$BK95</f>
        <v>176777.59258261847</v>
      </c>
      <c r="E35" s="625">
        <v>1</v>
      </c>
      <c r="F35" s="624">
        <f t="shared" si="3"/>
        <v>1</v>
      </c>
      <c r="G35" s="624">
        <f t="shared" si="3"/>
        <v>1</v>
      </c>
      <c r="H35" s="394">
        <f t="shared" si="4"/>
        <v>176777.59258261847</v>
      </c>
    </row>
    <row r="36" spans="1:8">
      <c r="A36" s="1072">
        <f t="shared" si="0"/>
        <v>22</v>
      </c>
      <c r="B36" s="685">
        <v>35201</v>
      </c>
      <c r="C36" s="4" t="s">
        <v>603</v>
      </c>
      <c r="D36" s="448">
        <f>[3]Reserve!$BK96</f>
        <v>25669.977954000005</v>
      </c>
      <c r="E36" s="625">
        <v>1</v>
      </c>
      <c r="F36" s="624">
        <f t="shared" si="3"/>
        <v>1</v>
      </c>
      <c r="G36" s="624">
        <f t="shared" si="3"/>
        <v>1</v>
      </c>
      <c r="H36" s="394">
        <f t="shared" si="4"/>
        <v>25669.977954000005</v>
      </c>
    </row>
    <row r="37" spans="1:8">
      <c r="A37" s="1072">
        <f t="shared" si="0"/>
        <v>23</v>
      </c>
      <c r="B37" s="685">
        <v>35202</v>
      </c>
      <c r="C37" s="4" t="s">
        <v>604</v>
      </c>
      <c r="D37" s="448">
        <f>[3]Reserve!$BK97</f>
        <v>3867.1153979999995</v>
      </c>
      <c r="E37" s="625">
        <v>1</v>
      </c>
      <c r="F37" s="624">
        <f t="shared" si="3"/>
        <v>1</v>
      </c>
      <c r="G37" s="624">
        <f t="shared" si="3"/>
        <v>1</v>
      </c>
      <c r="H37" s="394">
        <f t="shared" si="4"/>
        <v>3867.1153979999995</v>
      </c>
    </row>
    <row r="38" spans="1:8">
      <c r="A38" s="1072">
        <f t="shared" si="0"/>
        <v>24</v>
      </c>
      <c r="B38" s="685">
        <v>35203</v>
      </c>
      <c r="C38" s="4" t="s">
        <v>353</v>
      </c>
      <c r="D38" s="448">
        <f>[3]Reserve!$BK98</f>
        <v>30506.993279999999</v>
      </c>
      <c r="E38" s="625">
        <v>1</v>
      </c>
      <c r="F38" s="624">
        <f t="shared" si="3"/>
        <v>1</v>
      </c>
      <c r="G38" s="624">
        <f t="shared" si="3"/>
        <v>1</v>
      </c>
      <c r="H38" s="394">
        <f t="shared" si="4"/>
        <v>30506.993279999999</v>
      </c>
    </row>
    <row r="39" spans="1:8">
      <c r="A39" s="1072">
        <f t="shared" si="0"/>
        <v>25</v>
      </c>
      <c r="B39" s="685">
        <v>35210</v>
      </c>
      <c r="C39" s="4" t="s">
        <v>605</v>
      </c>
      <c r="D39" s="448">
        <f>[3]Reserve!$BK99</f>
        <v>624.85531499999991</v>
      </c>
      <c r="E39" s="625">
        <v>1</v>
      </c>
      <c r="F39" s="624">
        <f t="shared" si="3"/>
        <v>1</v>
      </c>
      <c r="G39" s="624">
        <f t="shared" si="3"/>
        <v>1</v>
      </c>
      <c r="H39" s="394">
        <f t="shared" si="4"/>
        <v>624.85531499999991</v>
      </c>
    </row>
    <row r="40" spans="1:8">
      <c r="A40" s="1072">
        <f t="shared" si="0"/>
        <v>26</v>
      </c>
      <c r="B40" s="685">
        <v>35211</v>
      </c>
      <c r="C40" s="4" t="s">
        <v>606</v>
      </c>
      <c r="D40" s="448">
        <f>[3]Reserve!$BK100</f>
        <v>480.60557599999987</v>
      </c>
      <c r="E40" s="625">
        <v>1</v>
      </c>
      <c r="F40" s="624">
        <f t="shared" si="3"/>
        <v>1</v>
      </c>
      <c r="G40" s="624">
        <f t="shared" si="3"/>
        <v>1</v>
      </c>
      <c r="H40" s="394">
        <f t="shared" si="4"/>
        <v>480.60557599999987</v>
      </c>
    </row>
    <row r="41" spans="1:8">
      <c r="A41" s="1072">
        <f t="shared" si="0"/>
        <v>27</v>
      </c>
      <c r="B41" s="685">
        <v>35301</v>
      </c>
      <c r="C41" s="1" t="s">
        <v>167</v>
      </c>
      <c r="D41" s="448">
        <f>[3]Reserve!$BK101</f>
        <v>1445.8248900000001</v>
      </c>
      <c r="E41" s="625">
        <v>1</v>
      </c>
      <c r="F41" s="624">
        <f t="shared" si="3"/>
        <v>1</v>
      </c>
      <c r="G41" s="624">
        <f t="shared" si="3"/>
        <v>1</v>
      </c>
      <c r="H41" s="394">
        <f t="shared" si="4"/>
        <v>1445.8248900000001</v>
      </c>
    </row>
    <row r="42" spans="1:8">
      <c r="A42" s="1072">
        <f t="shared" si="0"/>
        <v>28</v>
      </c>
      <c r="B42" s="685">
        <v>35302</v>
      </c>
      <c r="C42" s="4" t="s">
        <v>612</v>
      </c>
      <c r="D42" s="448">
        <f>[3]Reserve!$BK102</f>
        <v>0</v>
      </c>
      <c r="E42" s="625">
        <v>1</v>
      </c>
      <c r="F42" s="624">
        <f t="shared" si="3"/>
        <v>1</v>
      </c>
      <c r="G42" s="624">
        <f t="shared" si="3"/>
        <v>1</v>
      </c>
      <c r="H42" s="394">
        <f t="shared" si="4"/>
        <v>0</v>
      </c>
    </row>
    <row r="43" spans="1:8">
      <c r="A43" s="1072">
        <f t="shared" si="0"/>
        <v>29</v>
      </c>
      <c r="B43" s="685">
        <v>35400</v>
      </c>
      <c r="C43" s="4" t="s">
        <v>607</v>
      </c>
      <c r="D43" s="448">
        <f>[3]Reserve!$BK103</f>
        <v>16622.028900000001</v>
      </c>
      <c r="E43" s="625">
        <v>1</v>
      </c>
      <c r="F43" s="624">
        <f t="shared" si="3"/>
        <v>1</v>
      </c>
      <c r="G43" s="624">
        <f t="shared" si="3"/>
        <v>1</v>
      </c>
      <c r="H43" s="394">
        <f t="shared" si="4"/>
        <v>16622.028900000001</v>
      </c>
    </row>
    <row r="44" spans="1:8">
      <c r="A44" s="1072">
        <f t="shared" si="0"/>
        <v>30</v>
      </c>
      <c r="B44" s="685">
        <v>35500</v>
      </c>
      <c r="C44" s="4" t="s">
        <v>1011</v>
      </c>
      <c r="D44" s="448">
        <f>[3]Reserve!$BK104</f>
        <v>1228.503453</v>
      </c>
      <c r="E44" s="625">
        <v>1</v>
      </c>
      <c r="F44" s="624">
        <f t="shared" si="3"/>
        <v>1</v>
      </c>
      <c r="G44" s="624">
        <f t="shared" si="3"/>
        <v>1</v>
      </c>
      <c r="H44" s="394">
        <f t="shared" si="4"/>
        <v>1228.503453</v>
      </c>
    </row>
    <row r="45" spans="1:8">
      <c r="A45" s="1072">
        <f t="shared" si="0"/>
        <v>31</v>
      </c>
      <c r="B45" s="685">
        <v>35600</v>
      </c>
      <c r="C45" s="4" t="s">
        <v>1060</v>
      </c>
      <c r="D45" s="448">
        <f>[3]Reserve!$BK105</f>
        <v>8500.6007250000021</v>
      </c>
      <c r="E45" s="625">
        <v>1</v>
      </c>
      <c r="F45" s="624">
        <f t="shared" si="3"/>
        <v>1</v>
      </c>
      <c r="G45" s="624">
        <f t="shared" si="3"/>
        <v>1</v>
      </c>
      <c r="H45" s="395">
        <f t="shared" si="4"/>
        <v>8500.6007250000021</v>
      </c>
    </row>
    <row r="46" spans="1:8">
      <c r="A46" s="1072">
        <f t="shared" si="0"/>
        <v>32</v>
      </c>
      <c r="B46" s="685"/>
      <c r="C46" s="4"/>
      <c r="D46" s="1145"/>
      <c r="E46" s="625"/>
      <c r="F46" s="624"/>
      <c r="G46" s="624"/>
      <c r="H46" s="394"/>
    </row>
    <row r="47" spans="1:8">
      <c r="A47" s="1072">
        <f t="shared" si="0"/>
        <v>33</v>
      </c>
      <c r="B47" s="685"/>
      <c r="C47" s="4" t="s">
        <v>1381</v>
      </c>
      <c r="D47" s="448">
        <f>SUM(D29:D46)</f>
        <v>269954.01681261847</v>
      </c>
      <c r="E47" s="625"/>
      <c r="F47" s="624"/>
      <c r="G47" s="624"/>
      <c r="H47" s="385">
        <f>SUM(H29:H46)</f>
        <v>269954.01681261847</v>
      </c>
    </row>
    <row r="48" spans="1:8">
      <c r="A48" s="1072">
        <f t="shared" si="0"/>
        <v>34</v>
      </c>
      <c r="B48" s="685"/>
      <c r="C48" s="4"/>
      <c r="D48" s="581"/>
      <c r="E48" s="625"/>
      <c r="F48" s="624"/>
      <c r="G48" s="624"/>
      <c r="H48" s="394"/>
    </row>
    <row r="49" spans="1:8">
      <c r="A49" s="1072">
        <f t="shared" si="0"/>
        <v>35</v>
      </c>
      <c r="B49" s="685"/>
      <c r="C49" s="17" t="s">
        <v>1012</v>
      </c>
      <c r="D49" s="581"/>
      <c r="E49" s="625"/>
      <c r="F49" s="624"/>
      <c r="G49" s="624"/>
      <c r="H49" s="394"/>
    </row>
    <row r="50" spans="1:8">
      <c r="A50" s="1072">
        <f t="shared" si="0"/>
        <v>36</v>
      </c>
      <c r="B50" s="685">
        <v>36510</v>
      </c>
      <c r="C50" s="4" t="s">
        <v>300</v>
      </c>
      <c r="D50" s="448">
        <f>[3]Reserve!$BK106</f>
        <v>0</v>
      </c>
      <c r="E50" s="625">
        <v>1</v>
      </c>
      <c r="F50" s="624">
        <f t="shared" ref="F50:G57" si="5">$F$16</f>
        <v>1</v>
      </c>
      <c r="G50" s="624">
        <f t="shared" si="5"/>
        <v>1</v>
      </c>
      <c r="H50" s="385">
        <f t="shared" ref="H50:H57" si="6">D50*E50*F50*G50</f>
        <v>0</v>
      </c>
    </row>
    <row r="51" spans="1:8">
      <c r="A51" s="1072">
        <f t="shared" si="0"/>
        <v>37</v>
      </c>
      <c r="B51" s="685">
        <v>36520</v>
      </c>
      <c r="C51" s="4" t="s">
        <v>809</v>
      </c>
      <c r="D51" s="448">
        <f>[3]Reserve!$BK107</f>
        <v>11541.367600000003</v>
      </c>
      <c r="E51" s="625">
        <v>1</v>
      </c>
      <c r="F51" s="624">
        <f t="shared" si="5"/>
        <v>1</v>
      </c>
      <c r="G51" s="624">
        <f t="shared" si="5"/>
        <v>1</v>
      </c>
      <c r="H51" s="394">
        <f t="shared" si="6"/>
        <v>11541.367600000003</v>
      </c>
    </row>
    <row r="52" spans="1:8">
      <c r="A52" s="1072">
        <f t="shared" si="0"/>
        <v>38</v>
      </c>
      <c r="B52" s="685">
        <v>36602</v>
      </c>
      <c r="C52" s="4" t="s">
        <v>874</v>
      </c>
      <c r="D52" s="448">
        <f>[3]Reserve!$BK108</f>
        <v>872.23061599999994</v>
      </c>
      <c r="E52" s="625">
        <v>1</v>
      </c>
      <c r="F52" s="624">
        <f t="shared" si="5"/>
        <v>1</v>
      </c>
      <c r="G52" s="624">
        <f t="shared" si="5"/>
        <v>1</v>
      </c>
      <c r="H52" s="394">
        <f t="shared" si="6"/>
        <v>872.23061599999994</v>
      </c>
    </row>
    <row r="53" spans="1:8">
      <c r="A53" s="1072">
        <f t="shared" si="0"/>
        <v>39</v>
      </c>
      <c r="B53" s="685">
        <v>36603</v>
      </c>
      <c r="C53" s="4" t="s">
        <v>1013</v>
      </c>
      <c r="D53" s="448">
        <f>[3]Reserve!$BK109</f>
        <v>1082.707962</v>
      </c>
      <c r="E53" s="625">
        <v>1</v>
      </c>
      <c r="F53" s="624">
        <f t="shared" si="5"/>
        <v>1</v>
      </c>
      <c r="G53" s="624">
        <f t="shared" si="5"/>
        <v>1</v>
      </c>
      <c r="H53" s="394">
        <f t="shared" si="6"/>
        <v>1082.707962</v>
      </c>
    </row>
    <row r="54" spans="1:8">
      <c r="A54" s="1072">
        <f t="shared" si="0"/>
        <v>40</v>
      </c>
      <c r="B54" s="685">
        <v>36700</v>
      </c>
      <c r="C54" s="4" t="s">
        <v>861</v>
      </c>
      <c r="D54" s="448">
        <f>[3]Reserve!$BK110</f>
        <v>9275.4399999999987</v>
      </c>
      <c r="E54" s="625">
        <v>1</v>
      </c>
      <c r="F54" s="624">
        <f t="shared" si="5"/>
        <v>1</v>
      </c>
      <c r="G54" s="624">
        <f t="shared" si="5"/>
        <v>1</v>
      </c>
      <c r="H54" s="394">
        <f t="shared" si="6"/>
        <v>9275.4399999999987</v>
      </c>
    </row>
    <row r="55" spans="1:8">
      <c r="A55" s="1072">
        <f t="shared" si="0"/>
        <v>41</v>
      </c>
      <c r="B55" s="685">
        <v>36701</v>
      </c>
      <c r="C55" s="4" t="s">
        <v>16</v>
      </c>
      <c r="D55" s="448">
        <f>[3]Reserve!$BK111</f>
        <v>524702.12300100015</v>
      </c>
      <c r="E55" s="625">
        <v>1</v>
      </c>
      <c r="F55" s="624">
        <f t="shared" si="5"/>
        <v>1</v>
      </c>
      <c r="G55" s="624">
        <f t="shared" si="5"/>
        <v>1</v>
      </c>
      <c r="H55" s="394">
        <f t="shared" si="6"/>
        <v>524702.12300100015</v>
      </c>
    </row>
    <row r="56" spans="1:8">
      <c r="A56" s="1072">
        <f t="shared" si="0"/>
        <v>42</v>
      </c>
      <c r="B56" s="685">
        <v>36900</v>
      </c>
      <c r="C56" s="4" t="s">
        <v>1014</v>
      </c>
      <c r="D56" s="448">
        <f>[3]Reserve!$BK112</f>
        <v>13161.468231999999</v>
      </c>
      <c r="E56" s="625">
        <v>1</v>
      </c>
      <c r="F56" s="624">
        <f t="shared" si="5"/>
        <v>1</v>
      </c>
      <c r="G56" s="624">
        <f t="shared" si="5"/>
        <v>1</v>
      </c>
      <c r="H56" s="394">
        <f t="shared" si="6"/>
        <v>13161.468231999999</v>
      </c>
    </row>
    <row r="57" spans="1:8">
      <c r="A57" s="1072">
        <f t="shared" si="0"/>
        <v>43</v>
      </c>
      <c r="B57" s="685">
        <v>36901</v>
      </c>
      <c r="C57" s="4" t="s">
        <v>1014</v>
      </c>
      <c r="D57" s="448">
        <f>[3]Reserve!$BK113</f>
        <v>48575.248174000008</v>
      </c>
      <c r="E57" s="625">
        <v>1</v>
      </c>
      <c r="F57" s="624">
        <f t="shared" si="5"/>
        <v>1</v>
      </c>
      <c r="G57" s="624">
        <f t="shared" si="5"/>
        <v>1</v>
      </c>
      <c r="H57" s="395">
        <f t="shared" si="6"/>
        <v>48575.248174000008</v>
      </c>
    </row>
    <row r="58" spans="1:8">
      <c r="A58" s="1072">
        <f t="shared" si="0"/>
        <v>44</v>
      </c>
      <c r="B58" s="685"/>
      <c r="C58" s="4"/>
      <c r="D58" s="1145"/>
      <c r="E58" s="625"/>
      <c r="F58" s="624"/>
      <c r="G58" s="624"/>
      <c r="H58" s="394"/>
    </row>
    <row r="59" spans="1:8">
      <c r="A59" s="1072">
        <f t="shared" si="0"/>
        <v>45</v>
      </c>
      <c r="B59" s="468"/>
      <c r="C59" s="4" t="s">
        <v>1382</v>
      </c>
      <c r="D59" s="448">
        <f>SUM(D50:D58)</f>
        <v>609210.58558500023</v>
      </c>
      <c r="E59" s="625"/>
      <c r="F59" s="624"/>
      <c r="G59" s="624"/>
      <c r="H59" s="385">
        <f>SUM(H50:H58)</f>
        <v>609210.58558500023</v>
      </c>
    </row>
    <row r="60" spans="1:8">
      <c r="A60" s="1072">
        <f t="shared" si="0"/>
        <v>46</v>
      </c>
      <c r="B60" s="468"/>
      <c r="C60" s="1"/>
      <c r="D60" s="581"/>
      <c r="E60" s="625"/>
      <c r="F60" s="624"/>
      <c r="G60" s="624"/>
      <c r="H60" s="394"/>
    </row>
    <row r="61" spans="1:8">
      <c r="A61" s="1072">
        <f t="shared" si="0"/>
        <v>47</v>
      </c>
      <c r="B61" s="468"/>
      <c r="C61" s="17" t="s">
        <v>307</v>
      </c>
      <c r="D61" s="581"/>
      <c r="E61" s="625"/>
      <c r="F61" s="624"/>
      <c r="G61" s="624"/>
      <c r="H61" s="394"/>
    </row>
    <row r="62" spans="1:8">
      <c r="A62" s="1072">
        <f t="shared" si="0"/>
        <v>48</v>
      </c>
      <c r="B62" s="685">
        <v>37400</v>
      </c>
      <c r="C62" s="4" t="s">
        <v>1168</v>
      </c>
      <c r="D62" s="448">
        <f>[3]Reserve!$BK114</f>
        <v>0</v>
      </c>
      <c r="E62" s="625">
        <v>1</v>
      </c>
      <c r="F62" s="624">
        <f t="shared" ref="F62:G81" si="7">$F$16</f>
        <v>1</v>
      </c>
      <c r="G62" s="624">
        <f t="shared" si="7"/>
        <v>1</v>
      </c>
      <c r="H62" s="385">
        <f t="shared" ref="H62:H81" si="8">D62*E62*F62*G62</f>
        <v>0</v>
      </c>
    </row>
    <row r="63" spans="1:8">
      <c r="A63" s="1072">
        <f t="shared" si="0"/>
        <v>49</v>
      </c>
      <c r="B63" s="685">
        <v>37401</v>
      </c>
      <c r="C63" s="4" t="s">
        <v>300</v>
      </c>
      <c r="D63" s="448">
        <f>[3]Reserve!$BK115</f>
        <v>0</v>
      </c>
      <c r="E63" s="625">
        <v>1</v>
      </c>
      <c r="F63" s="624">
        <f t="shared" si="7"/>
        <v>1</v>
      </c>
      <c r="G63" s="624">
        <f t="shared" si="7"/>
        <v>1</v>
      </c>
      <c r="H63" s="394">
        <f t="shared" si="8"/>
        <v>0</v>
      </c>
    </row>
    <row r="64" spans="1:8">
      <c r="A64" s="1072">
        <f t="shared" si="0"/>
        <v>50</v>
      </c>
      <c r="B64" s="685">
        <v>37402</v>
      </c>
      <c r="C64" s="4" t="s">
        <v>1018</v>
      </c>
      <c r="D64" s="448">
        <f>[3]Reserve!$BK116</f>
        <v>22037.011447200493</v>
      </c>
      <c r="E64" s="625">
        <v>1</v>
      </c>
      <c r="F64" s="624">
        <f t="shared" si="7"/>
        <v>1</v>
      </c>
      <c r="G64" s="624">
        <f t="shared" si="7"/>
        <v>1</v>
      </c>
      <c r="H64" s="394">
        <f t="shared" si="8"/>
        <v>22037.011447200493</v>
      </c>
    </row>
    <row r="65" spans="1:8">
      <c r="A65" s="1072">
        <f t="shared" si="0"/>
        <v>51</v>
      </c>
      <c r="B65" s="685">
        <v>37403</v>
      </c>
      <c r="C65" s="4" t="s">
        <v>1015</v>
      </c>
      <c r="D65" s="448">
        <f>[3]Reserve!$BK117</f>
        <v>0</v>
      </c>
      <c r="E65" s="625">
        <v>1</v>
      </c>
      <c r="F65" s="624">
        <f t="shared" si="7"/>
        <v>1</v>
      </c>
      <c r="G65" s="624">
        <f t="shared" si="7"/>
        <v>1</v>
      </c>
      <c r="H65" s="394">
        <f t="shared" si="8"/>
        <v>0</v>
      </c>
    </row>
    <row r="66" spans="1:8">
      <c r="A66" s="1072">
        <f t="shared" si="0"/>
        <v>52</v>
      </c>
      <c r="B66" s="685">
        <v>37500</v>
      </c>
      <c r="C66" s="4" t="s">
        <v>874</v>
      </c>
      <c r="D66" s="448">
        <f>[3]Reserve!$BK118</f>
        <v>6925.0513239999991</v>
      </c>
      <c r="E66" s="625">
        <v>1</v>
      </c>
      <c r="F66" s="624">
        <f t="shared" si="7"/>
        <v>1</v>
      </c>
      <c r="G66" s="624">
        <f t="shared" si="7"/>
        <v>1</v>
      </c>
      <c r="H66" s="394">
        <f t="shared" si="8"/>
        <v>6925.0513239999991</v>
      </c>
    </row>
    <row r="67" spans="1:8">
      <c r="A67" s="1072">
        <f t="shared" si="0"/>
        <v>53</v>
      </c>
      <c r="B67" s="685">
        <v>37501</v>
      </c>
      <c r="C67" s="4" t="s">
        <v>1016</v>
      </c>
      <c r="D67" s="448">
        <f>[3]Reserve!$BK119</f>
        <v>2056.2534780000001</v>
      </c>
      <c r="E67" s="625">
        <v>1</v>
      </c>
      <c r="F67" s="624">
        <f t="shared" si="7"/>
        <v>1</v>
      </c>
      <c r="G67" s="624">
        <f t="shared" si="7"/>
        <v>1</v>
      </c>
      <c r="H67" s="394">
        <f t="shared" si="8"/>
        <v>2056.2534780000001</v>
      </c>
    </row>
    <row r="68" spans="1:8">
      <c r="A68" s="1072">
        <f t="shared" si="0"/>
        <v>54</v>
      </c>
      <c r="B68" s="685">
        <v>37502</v>
      </c>
      <c r="C68" s="4" t="s">
        <v>1018</v>
      </c>
      <c r="D68" s="448">
        <f>[3]Reserve!$BK120</f>
        <v>953.04231399999992</v>
      </c>
      <c r="E68" s="625">
        <v>1</v>
      </c>
      <c r="F68" s="624">
        <f t="shared" si="7"/>
        <v>1</v>
      </c>
      <c r="G68" s="624">
        <f t="shared" si="7"/>
        <v>1</v>
      </c>
      <c r="H68" s="394">
        <f t="shared" si="8"/>
        <v>953.04231399999992</v>
      </c>
    </row>
    <row r="69" spans="1:8">
      <c r="A69" s="1072">
        <f t="shared" si="0"/>
        <v>55</v>
      </c>
      <c r="B69" s="685">
        <v>37503</v>
      </c>
      <c r="C69" s="4" t="s">
        <v>1017</v>
      </c>
      <c r="D69" s="448">
        <f>[3]Reserve!$BK121</f>
        <v>82.504648000000017</v>
      </c>
      <c r="E69" s="625">
        <v>1</v>
      </c>
      <c r="F69" s="624">
        <f t="shared" si="7"/>
        <v>1</v>
      </c>
      <c r="G69" s="624">
        <f t="shared" si="7"/>
        <v>1</v>
      </c>
      <c r="H69" s="394">
        <f t="shared" si="8"/>
        <v>82.504648000000017</v>
      </c>
    </row>
    <row r="70" spans="1:8">
      <c r="A70" s="1072">
        <f t="shared" si="0"/>
        <v>56</v>
      </c>
      <c r="B70" s="685">
        <v>37600</v>
      </c>
      <c r="C70" s="4" t="s">
        <v>861</v>
      </c>
      <c r="D70" s="448">
        <f>[3]Reserve!$BK122</f>
        <v>999517.9413844964</v>
      </c>
      <c r="E70" s="625">
        <v>1</v>
      </c>
      <c r="F70" s="624">
        <f t="shared" si="7"/>
        <v>1</v>
      </c>
      <c r="G70" s="624">
        <f t="shared" si="7"/>
        <v>1</v>
      </c>
      <c r="H70" s="394">
        <f t="shared" si="8"/>
        <v>999517.9413844964</v>
      </c>
    </row>
    <row r="71" spans="1:8">
      <c r="A71" s="1072">
        <f t="shared" si="0"/>
        <v>57</v>
      </c>
      <c r="B71" s="685">
        <v>37601</v>
      </c>
      <c r="C71" s="4" t="s">
        <v>16</v>
      </c>
      <c r="D71" s="448">
        <f>[3]Reserve!$BK123</f>
        <v>2355110.6991566564</v>
      </c>
      <c r="E71" s="625">
        <v>1</v>
      </c>
      <c r="F71" s="624">
        <f t="shared" si="7"/>
        <v>1</v>
      </c>
      <c r="G71" s="624">
        <f t="shared" si="7"/>
        <v>1</v>
      </c>
      <c r="H71" s="394">
        <f t="shared" si="8"/>
        <v>2355110.6991566564</v>
      </c>
    </row>
    <row r="72" spans="1:8">
      <c r="A72" s="1072">
        <f t="shared" si="0"/>
        <v>58</v>
      </c>
      <c r="B72" s="685">
        <v>37602</v>
      </c>
      <c r="C72" s="4" t="s">
        <v>862</v>
      </c>
      <c r="D72" s="448">
        <f>[3]Reserve!$BK124</f>
        <v>2044395.2352702357</v>
      </c>
      <c r="E72" s="625">
        <v>1</v>
      </c>
      <c r="F72" s="624">
        <f t="shared" si="7"/>
        <v>1</v>
      </c>
      <c r="G72" s="624">
        <f t="shared" si="7"/>
        <v>1</v>
      </c>
      <c r="H72" s="394">
        <f t="shared" si="8"/>
        <v>2044395.2352702357</v>
      </c>
    </row>
    <row r="73" spans="1:8">
      <c r="A73" s="1072">
        <f t="shared" si="0"/>
        <v>59</v>
      </c>
      <c r="B73" s="685">
        <v>37800</v>
      </c>
      <c r="C73" s="4" t="s">
        <v>234</v>
      </c>
      <c r="D73" s="448">
        <f>[3]Reserve!$BK125</f>
        <v>216376.41859987559</v>
      </c>
      <c r="E73" s="625">
        <v>1</v>
      </c>
      <c r="F73" s="624">
        <f t="shared" si="7"/>
        <v>1</v>
      </c>
      <c r="G73" s="624">
        <f t="shared" si="7"/>
        <v>1</v>
      </c>
      <c r="H73" s="394">
        <f t="shared" si="8"/>
        <v>216376.41859987559</v>
      </c>
    </row>
    <row r="74" spans="1:8">
      <c r="A74" s="1072">
        <f t="shared" si="0"/>
        <v>60</v>
      </c>
      <c r="B74" s="685">
        <v>37900</v>
      </c>
      <c r="C74" s="4" t="s">
        <v>1211</v>
      </c>
      <c r="D74" s="448">
        <f>[3]Reserve!$BK126</f>
        <v>90385.566468409423</v>
      </c>
      <c r="E74" s="625">
        <v>1</v>
      </c>
      <c r="F74" s="624">
        <f t="shared" si="7"/>
        <v>1</v>
      </c>
      <c r="G74" s="624">
        <f t="shared" si="7"/>
        <v>1</v>
      </c>
      <c r="H74" s="394">
        <f t="shared" si="8"/>
        <v>90385.566468409423</v>
      </c>
    </row>
    <row r="75" spans="1:8">
      <c r="A75" s="1072">
        <f t="shared" si="0"/>
        <v>61</v>
      </c>
      <c r="B75" s="685">
        <v>37905</v>
      </c>
      <c r="C75" s="4" t="s">
        <v>742</v>
      </c>
      <c r="D75" s="448">
        <f>[3]Reserve!$BK127</f>
        <v>39863.269445999998</v>
      </c>
      <c r="E75" s="625">
        <v>1</v>
      </c>
      <c r="F75" s="624">
        <f t="shared" si="7"/>
        <v>1</v>
      </c>
      <c r="G75" s="624">
        <f t="shared" si="7"/>
        <v>1</v>
      </c>
      <c r="H75" s="394">
        <f t="shared" si="8"/>
        <v>39863.269445999998</v>
      </c>
    </row>
    <row r="76" spans="1:8">
      <c r="A76" s="1072">
        <f t="shared" si="0"/>
        <v>62</v>
      </c>
      <c r="B76" s="685">
        <v>38000</v>
      </c>
      <c r="C76" s="4" t="s">
        <v>1072</v>
      </c>
      <c r="D76" s="448">
        <f>[3]Reserve!$BK128</f>
        <v>4112168.3225069912</v>
      </c>
      <c r="E76" s="625">
        <v>1</v>
      </c>
      <c r="F76" s="624">
        <f t="shared" si="7"/>
        <v>1</v>
      </c>
      <c r="G76" s="624">
        <f t="shared" si="7"/>
        <v>1</v>
      </c>
      <c r="H76" s="394">
        <f t="shared" si="8"/>
        <v>4112168.3225069912</v>
      </c>
    </row>
    <row r="77" spans="1:8">
      <c r="A77" s="1072">
        <f t="shared" si="0"/>
        <v>63</v>
      </c>
      <c r="B77" s="685">
        <v>38100</v>
      </c>
      <c r="C77" s="4" t="s">
        <v>863</v>
      </c>
      <c r="D77" s="448">
        <f>[3]Reserve!$BK129</f>
        <v>2897270.4089805009</v>
      </c>
      <c r="E77" s="625">
        <v>1</v>
      </c>
      <c r="F77" s="624">
        <f t="shared" si="7"/>
        <v>1</v>
      </c>
      <c r="G77" s="624">
        <f t="shared" si="7"/>
        <v>1</v>
      </c>
      <c r="H77" s="394">
        <f t="shared" si="8"/>
        <v>2897270.4089805009</v>
      </c>
    </row>
    <row r="78" spans="1:8">
      <c r="A78" s="1072">
        <f t="shared" si="0"/>
        <v>64</v>
      </c>
      <c r="B78" s="685">
        <v>38200</v>
      </c>
      <c r="C78" s="4" t="s">
        <v>456</v>
      </c>
      <c r="D78" s="448">
        <f>[3]Reserve!$BK130</f>
        <v>2133687.8687735833</v>
      </c>
      <c r="E78" s="625">
        <v>1</v>
      </c>
      <c r="F78" s="624">
        <f t="shared" si="7"/>
        <v>1</v>
      </c>
      <c r="G78" s="624">
        <f t="shared" si="7"/>
        <v>1</v>
      </c>
      <c r="H78" s="394">
        <f t="shared" si="8"/>
        <v>2133687.8687735833</v>
      </c>
    </row>
    <row r="79" spans="1:8">
      <c r="A79" s="1072">
        <f t="shared" si="0"/>
        <v>65</v>
      </c>
      <c r="B79" s="685">
        <v>38300</v>
      </c>
      <c r="C79" s="4" t="s">
        <v>1073</v>
      </c>
      <c r="D79" s="448">
        <f>[3]Reserve!$BK131</f>
        <v>264821.54151127051</v>
      </c>
      <c r="E79" s="625">
        <v>1</v>
      </c>
      <c r="F79" s="624">
        <f t="shared" si="7"/>
        <v>1</v>
      </c>
      <c r="G79" s="624">
        <f t="shared" si="7"/>
        <v>1</v>
      </c>
      <c r="H79" s="394">
        <f t="shared" si="8"/>
        <v>264821.54151127051</v>
      </c>
    </row>
    <row r="80" spans="1:8">
      <c r="A80" s="1072">
        <f t="shared" si="0"/>
        <v>66</v>
      </c>
      <c r="B80" s="685">
        <v>38400</v>
      </c>
      <c r="C80" s="4" t="s">
        <v>457</v>
      </c>
      <c r="D80" s="448">
        <f>[3]Reserve!$BK132</f>
        <v>3625.4944600000003</v>
      </c>
      <c r="E80" s="625">
        <v>1</v>
      </c>
      <c r="F80" s="624">
        <f t="shared" si="7"/>
        <v>1</v>
      </c>
      <c r="G80" s="624">
        <f t="shared" si="7"/>
        <v>1</v>
      </c>
      <c r="H80" s="394">
        <f t="shared" si="8"/>
        <v>3625.4944600000003</v>
      </c>
    </row>
    <row r="81" spans="1:13">
      <c r="A81" s="1072">
        <f t="shared" ref="A81:A144" si="9">A80+1</f>
        <v>67</v>
      </c>
      <c r="B81" s="685">
        <v>38500</v>
      </c>
      <c r="C81" s="4" t="s">
        <v>458</v>
      </c>
      <c r="D81" s="448">
        <f>[3]Reserve!$BK133</f>
        <v>147373.97049414355</v>
      </c>
      <c r="E81" s="625">
        <v>1</v>
      </c>
      <c r="F81" s="624">
        <f t="shared" si="7"/>
        <v>1</v>
      </c>
      <c r="G81" s="624">
        <f t="shared" si="7"/>
        <v>1</v>
      </c>
      <c r="H81" s="394">
        <f t="shared" si="8"/>
        <v>147373.97049414355</v>
      </c>
      <c r="M81" s="954"/>
    </row>
    <row r="82" spans="1:13">
      <c r="A82" s="1072">
        <f t="shared" si="9"/>
        <v>68</v>
      </c>
      <c r="B82" s="685"/>
      <c r="C82" s="4"/>
      <c r="D82" s="1145"/>
      <c r="E82" s="625"/>
      <c r="F82" s="624"/>
      <c r="G82" s="624"/>
      <c r="H82" s="791"/>
    </row>
    <row r="83" spans="1:13">
      <c r="A83" s="1072">
        <f t="shared" si="9"/>
        <v>69</v>
      </c>
      <c r="B83" s="685"/>
      <c r="C83" s="4" t="s">
        <v>1379</v>
      </c>
      <c r="D83" s="448">
        <f>SUM(D62:D82)</f>
        <v>15336650.600263363</v>
      </c>
      <c r="E83" s="625"/>
      <c r="F83" s="624"/>
      <c r="G83" s="624"/>
      <c r="H83" s="385">
        <f>SUM(H62:H82)</f>
        <v>15336650.600263363</v>
      </c>
    </row>
    <row r="84" spans="1:13">
      <c r="A84" s="1072">
        <f t="shared" si="9"/>
        <v>70</v>
      </c>
      <c r="B84" s="685"/>
      <c r="C84" s="4"/>
      <c r="D84" s="581"/>
      <c r="E84" s="625"/>
      <c r="F84" s="624"/>
      <c r="G84" s="624"/>
      <c r="H84" s="394"/>
    </row>
    <row r="85" spans="1:13">
      <c r="A85" s="1072">
        <f t="shared" si="9"/>
        <v>71</v>
      </c>
      <c r="B85" s="468"/>
      <c r="C85" s="17" t="s">
        <v>309</v>
      </c>
      <c r="D85" s="581"/>
      <c r="E85" s="625"/>
      <c r="F85" s="624"/>
      <c r="G85" s="624"/>
      <c r="H85" s="394"/>
    </row>
    <row r="86" spans="1:13">
      <c r="A86" s="1072">
        <f t="shared" si="9"/>
        <v>72</v>
      </c>
      <c r="B86" s="685">
        <v>38900</v>
      </c>
      <c r="C86" s="4" t="s">
        <v>1168</v>
      </c>
      <c r="D86" s="448">
        <f>[3]Reserve!$BK134</f>
        <v>0</v>
      </c>
      <c r="E86" s="625">
        <v>1</v>
      </c>
      <c r="F86" s="624">
        <f t="shared" ref="F86:G99" si="10">$F$16</f>
        <v>1</v>
      </c>
      <c r="G86" s="624">
        <f t="shared" si="10"/>
        <v>1</v>
      </c>
      <c r="H86" s="385">
        <f t="shared" ref="H86:H106" si="11">D86*E86*F86*G86</f>
        <v>0</v>
      </c>
    </row>
    <row r="87" spans="1:13">
      <c r="A87" s="1072">
        <f t="shared" si="9"/>
        <v>73</v>
      </c>
      <c r="B87" s="685">
        <v>39000</v>
      </c>
      <c r="C87" s="4" t="s">
        <v>556</v>
      </c>
      <c r="D87" s="448">
        <f>[3]Reserve!$BK135</f>
        <v>197482.42415229388</v>
      </c>
      <c r="E87" s="625">
        <v>1</v>
      </c>
      <c r="F87" s="624">
        <f t="shared" si="10"/>
        <v>1</v>
      </c>
      <c r="G87" s="624">
        <f t="shared" si="10"/>
        <v>1</v>
      </c>
      <c r="H87" s="394">
        <f t="shared" si="11"/>
        <v>197482.42415229388</v>
      </c>
    </row>
    <row r="88" spans="1:13">
      <c r="A88" s="1072">
        <f t="shared" si="9"/>
        <v>74</v>
      </c>
      <c r="B88" s="685">
        <v>39002</v>
      </c>
      <c r="C88" s="4" t="s">
        <v>1017</v>
      </c>
      <c r="D88" s="448">
        <f>[3]Reserve!$BK136</f>
        <v>6509.1183599999995</v>
      </c>
      <c r="E88" s="625">
        <v>1</v>
      </c>
      <c r="F88" s="624">
        <f t="shared" si="10"/>
        <v>1</v>
      </c>
      <c r="G88" s="624">
        <f t="shared" si="10"/>
        <v>1</v>
      </c>
      <c r="H88" s="394">
        <f t="shared" si="11"/>
        <v>6509.1183599999995</v>
      </c>
    </row>
    <row r="89" spans="1:13">
      <c r="A89" s="1072">
        <f t="shared" si="9"/>
        <v>75</v>
      </c>
      <c r="B89" s="685">
        <v>39003</v>
      </c>
      <c r="C89" s="4" t="s">
        <v>459</v>
      </c>
      <c r="D89" s="448">
        <f>[3]Reserve!$BK137</f>
        <v>26665.889167999998</v>
      </c>
      <c r="E89" s="625">
        <v>1</v>
      </c>
      <c r="F89" s="624">
        <f t="shared" si="10"/>
        <v>1</v>
      </c>
      <c r="G89" s="624">
        <f t="shared" si="10"/>
        <v>1</v>
      </c>
      <c r="H89" s="394">
        <f t="shared" si="11"/>
        <v>26665.889167999998</v>
      </c>
    </row>
    <row r="90" spans="1:13">
      <c r="A90" s="1072">
        <f t="shared" si="9"/>
        <v>76</v>
      </c>
      <c r="B90" s="685">
        <v>39004</v>
      </c>
      <c r="C90" s="4" t="s">
        <v>1056</v>
      </c>
      <c r="D90" s="448">
        <f>[3]Reserve!$BK138</f>
        <v>280.55202400000002</v>
      </c>
      <c r="E90" s="625">
        <v>1</v>
      </c>
      <c r="F90" s="624">
        <f t="shared" si="10"/>
        <v>1</v>
      </c>
      <c r="G90" s="624">
        <f t="shared" si="10"/>
        <v>1</v>
      </c>
      <c r="H90" s="394">
        <f t="shared" si="11"/>
        <v>280.55202400000002</v>
      </c>
    </row>
    <row r="91" spans="1:13">
      <c r="A91" s="1072">
        <f t="shared" si="9"/>
        <v>77</v>
      </c>
      <c r="B91" s="685">
        <v>39009</v>
      </c>
      <c r="C91" s="4" t="s">
        <v>796</v>
      </c>
      <c r="D91" s="448">
        <f>[3]Reserve!$BK139</f>
        <v>233162.93107800002</v>
      </c>
      <c r="E91" s="625">
        <v>1</v>
      </c>
      <c r="F91" s="624">
        <f t="shared" si="10"/>
        <v>1</v>
      </c>
      <c r="G91" s="624">
        <f t="shared" si="10"/>
        <v>1</v>
      </c>
      <c r="H91" s="394">
        <f t="shared" si="11"/>
        <v>233162.93107800002</v>
      </c>
    </row>
    <row r="92" spans="1:13">
      <c r="A92" s="1072">
        <f t="shared" si="9"/>
        <v>78</v>
      </c>
      <c r="B92" s="685">
        <v>39100</v>
      </c>
      <c r="C92" s="4" t="s">
        <v>542</v>
      </c>
      <c r="D92" s="448">
        <f>[3]Reserve!$BK140</f>
        <v>130055.39517449915</v>
      </c>
      <c r="E92" s="625">
        <v>1</v>
      </c>
      <c r="F92" s="624">
        <f t="shared" si="10"/>
        <v>1</v>
      </c>
      <c r="G92" s="624">
        <f t="shared" si="10"/>
        <v>1</v>
      </c>
      <c r="H92" s="394">
        <f t="shared" si="11"/>
        <v>130055.39517449915</v>
      </c>
    </row>
    <row r="93" spans="1:13">
      <c r="A93" s="1072">
        <f t="shared" si="9"/>
        <v>79</v>
      </c>
      <c r="B93" s="685">
        <v>39200</v>
      </c>
      <c r="C93" s="4" t="s">
        <v>348</v>
      </c>
      <c r="D93" s="448">
        <f>[3]Reserve!$BK141</f>
        <v>54944.030474000007</v>
      </c>
      <c r="E93" s="1149">
        <f>'[4]Base period Actuals'!$L$36</f>
        <v>0.43469400347292619</v>
      </c>
      <c r="F93" s="624">
        <f t="shared" si="10"/>
        <v>1</v>
      </c>
      <c r="G93" s="624">
        <f t="shared" si="10"/>
        <v>1</v>
      </c>
      <c r="H93" s="394">
        <f t="shared" si="11"/>
        <v>23883.840573681522</v>
      </c>
      <c r="K93" s="797"/>
    </row>
    <row r="94" spans="1:13">
      <c r="A94" s="1072">
        <f t="shared" si="9"/>
        <v>80</v>
      </c>
      <c r="B94" s="685">
        <v>39202</v>
      </c>
      <c r="C94" s="4" t="s">
        <v>91</v>
      </c>
      <c r="D94" s="448">
        <f>[3]Reserve!$BK142</f>
        <v>3302.5950449999996</v>
      </c>
      <c r="E94" s="1149">
        <f>'[4]Base period Actuals'!$L$36</f>
        <v>0.43469400347292619</v>
      </c>
      <c r="F94" s="624">
        <f t="shared" si="10"/>
        <v>1</v>
      </c>
      <c r="G94" s="624">
        <f t="shared" si="10"/>
        <v>1</v>
      </c>
      <c r="H94" s="394">
        <f t="shared" si="11"/>
        <v>1435.6182619608987</v>
      </c>
      <c r="K94" s="797"/>
    </row>
    <row r="95" spans="1:13">
      <c r="A95" s="1072">
        <f t="shared" si="9"/>
        <v>81</v>
      </c>
      <c r="B95" s="685">
        <v>39400</v>
      </c>
      <c r="C95" s="4" t="s">
        <v>557</v>
      </c>
      <c r="D95" s="448">
        <f>[3]Reserve!$BK143</f>
        <v>166869.75465729632</v>
      </c>
      <c r="E95" s="1149">
        <f>'[4]Base period Actuals'!$L$42</f>
        <v>0.43594523066092161</v>
      </c>
      <c r="F95" s="624">
        <f t="shared" si="10"/>
        <v>1</v>
      </c>
      <c r="G95" s="624">
        <f t="shared" si="10"/>
        <v>1</v>
      </c>
      <c r="H95" s="394">
        <f t="shared" si="11"/>
        <v>72746.073684406438</v>
      </c>
      <c r="K95" s="797"/>
    </row>
    <row r="96" spans="1:13">
      <c r="A96" s="1072">
        <f t="shared" si="9"/>
        <v>82</v>
      </c>
      <c r="B96" s="468">
        <v>39603</v>
      </c>
      <c r="C96" s="4" t="s">
        <v>93</v>
      </c>
      <c r="D96" s="448">
        <f>[3]Reserve!$BK144</f>
        <v>9209.8863120000024</v>
      </c>
      <c r="E96" s="1149">
        <f>'[4]Base period Actuals'!$L$38</f>
        <v>2.000120675986683E-2</v>
      </c>
      <c r="F96" s="624">
        <f t="shared" si="10"/>
        <v>1</v>
      </c>
      <c r="G96" s="624">
        <f t="shared" si="10"/>
        <v>1</v>
      </c>
      <c r="H96" s="394">
        <f t="shared" si="11"/>
        <v>184.20884036117943</v>
      </c>
      <c r="K96" s="797"/>
    </row>
    <row r="97" spans="1:14">
      <c r="A97" s="1072">
        <f t="shared" si="9"/>
        <v>83</v>
      </c>
      <c r="B97" s="468">
        <v>39604</v>
      </c>
      <c r="C97" s="1" t="s">
        <v>94</v>
      </c>
      <c r="D97" s="448">
        <f>[3]Reserve!$BK145</f>
        <v>12216.897363000004</v>
      </c>
      <c r="E97" s="1149">
        <f>'[4]Base period Actuals'!$L$38</f>
        <v>2.000120675986683E-2</v>
      </c>
      <c r="F97" s="624">
        <f t="shared" si="10"/>
        <v>1</v>
      </c>
      <c r="G97" s="624">
        <f t="shared" si="10"/>
        <v>1</v>
      </c>
      <c r="H97" s="394">
        <f t="shared" si="11"/>
        <v>244.35269012143493</v>
      </c>
      <c r="K97" s="797"/>
    </row>
    <row r="98" spans="1:14">
      <c r="A98" s="1072">
        <f t="shared" si="9"/>
        <v>84</v>
      </c>
      <c r="B98" s="468">
        <v>39605</v>
      </c>
      <c r="C98" s="4" t="s">
        <v>454</v>
      </c>
      <c r="D98" s="448">
        <f>[3]Reserve!$BK146</f>
        <v>6471.0375180000001</v>
      </c>
      <c r="E98" s="625">
        <v>1</v>
      </c>
      <c r="F98" s="624">
        <f t="shared" si="10"/>
        <v>1</v>
      </c>
      <c r="G98" s="624">
        <f t="shared" si="10"/>
        <v>1</v>
      </c>
      <c r="H98" s="394">
        <f t="shared" si="11"/>
        <v>6471.0375180000001</v>
      </c>
    </row>
    <row r="99" spans="1:14">
      <c r="A99" s="1072">
        <f t="shared" si="9"/>
        <v>85</v>
      </c>
      <c r="B99" s="468">
        <v>39700</v>
      </c>
      <c r="C99" s="4" t="s">
        <v>869</v>
      </c>
      <c r="D99" s="448">
        <f>[3]Reserve!$BK147</f>
        <v>26972.933665380504</v>
      </c>
      <c r="E99" s="625">
        <v>1</v>
      </c>
      <c r="F99" s="624">
        <f t="shared" si="10"/>
        <v>1</v>
      </c>
      <c r="G99" s="624">
        <f t="shared" si="10"/>
        <v>1</v>
      </c>
      <c r="H99" s="394">
        <f t="shared" si="11"/>
        <v>26972.933665380504</v>
      </c>
    </row>
    <row r="100" spans="1:14">
      <c r="A100" s="1072">
        <f t="shared" si="9"/>
        <v>86</v>
      </c>
      <c r="B100" s="468">
        <v>39705</v>
      </c>
      <c r="C100" s="4" t="s">
        <v>666</v>
      </c>
      <c r="D100" s="448">
        <f>[3]Reserve!$BK148</f>
        <v>0</v>
      </c>
      <c r="E100" s="625">
        <v>1</v>
      </c>
      <c r="F100" s="624">
        <f t="shared" ref="F100:G106" si="12">$F$16</f>
        <v>1</v>
      </c>
      <c r="G100" s="624">
        <f t="shared" si="12"/>
        <v>1</v>
      </c>
      <c r="H100" s="394">
        <f t="shared" si="11"/>
        <v>0</v>
      </c>
    </row>
    <row r="101" spans="1:14">
      <c r="A101" s="1072">
        <f t="shared" si="9"/>
        <v>87</v>
      </c>
      <c r="B101" s="468">
        <v>39800</v>
      </c>
      <c r="C101" s="4" t="s">
        <v>1173</v>
      </c>
      <c r="D101" s="448">
        <f>[3]Reserve!$BK149</f>
        <v>215120.501438924</v>
      </c>
      <c r="E101" s="625">
        <v>1</v>
      </c>
      <c r="F101" s="624">
        <f t="shared" si="12"/>
        <v>1</v>
      </c>
      <c r="G101" s="624">
        <f t="shared" si="12"/>
        <v>1</v>
      </c>
      <c r="H101" s="394">
        <f t="shared" si="11"/>
        <v>215120.501438924</v>
      </c>
    </row>
    <row r="102" spans="1:14">
      <c r="A102" s="1072">
        <f t="shared" si="9"/>
        <v>88</v>
      </c>
      <c r="B102" s="468">
        <v>39903</v>
      </c>
      <c r="C102" s="4" t="s">
        <v>1198</v>
      </c>
      <c r="D102" s="448">
        <f>[3]Reserve!$BK150</f>
        <v>9471.1241712566043</v>
      </c>
      <c r="E102" s="625">
        <v>1</v>
      </c>
      <c r="F102" s="624">
        <f t="shared" si="12"/>
        <v>1</v>
      </c>
      <c r="G102" s="624">
        <f t="shared" si="12"/>
        <v>1</v>
      </c>
      <c r="H102" s="394">
        <f t="shared" si="11"/>
        <v>9471.1241712566043</v>
      </c>
    </row>
    <row r="103" spans="1:14">
      <c r="A103" s="1072">
        <f t="shared" si="9"/>
        <v>89</v>
      </c>
      <c r="B103" s="468">
        <v>39906</v>
      </c>
      <c r="C103" s="4" t="s">
        <v>520</v>
      </c>
      <c r="D103" s="448">
        <f>[3]Reserve!$BK151</f>
        <v>332087.59537104081</v>
      </c>
      <c r="E103" s="625">
        <v>1</v>
      </c>
      <c r="F103" s="624">
        <f t="shared" si="12"/>
        <v>1</v>
      </c>
      <c r="G103" s="624">
        <f t="shared" si="12"/>
        <v>1</v>
      </c>
      <c r="H103" s="394">
        <f t="shared" si="11"/>
        <v>332087.59537104081</v>
      </c>
    </row>
    <row r="104" spans="1:14">
      <c r="A104" s="1072">
        <f t="shared" si="9"/>
        <v>90</v>
      </c>
      <c r="B104" s="468">
        <v>39907</v>
      </c>
      <c r="C104" s="4" t="s">
        <v>184</v>
      </c>
      <c r="D104" s="448">
        <f>[3]Reserve!$BK152</f>
        <v>0</v>
      </c>
      <c r="E104" s="625">
        <v>1</v>
      </c>
      <c r="F104" s="624">
        <f t="shared" si="12"/>
        <v>1</v>
      </c>
      <c r="G104" s="624">
        <f t="shared" si="12"/>
        <v>1</v>
      </c>
      <c r="H104" s="394">
        <f t="shared" si="11"/>
        <v>0</v>
      </c>
    </row>
    <row r="105" spans="1:14">
      <c r="A105" s="1072">
        <f t="shared" si="9"/>
        <v>91</v>
      </c>
      <c r="B105" s="468">
        <v>39908</v>
      </c>
      <c r="C105" s="4" t="s">
        <v>352</v>
      </c>
      <c r="D105" s="448">
        <f>[3]Reserve!$BK153</f>
        <v>0</v>
      </c>
      <c r="E105" s="625">
        <v>1</v>
      </c>
      <c r="F105" s="624">
        <f t="shared" si="12"/>
        <v>1</v>
      </c>
      <c r="G105" s="624">
        <f t="shared" si="12"/>
        <v>1</v>
      </c>
      <c r="H105" s="394">
        <f t="shared" si="11"/>
        <v>0</v>
      </c>
    </row>
    <row r="106" spans="1:14" ht="15.75">
      <c r="A106" s="1072">
        <f t="shared" si="9"/>
        <v>92</v>
      </c>
      <c r="B106" s="942"/>
      <c r="C106" s="115" t="s">
        <v>1293</v>
      </c>
      <c r="D106" s="448">
        <f>[3]Reserve!$BK$156</f>
        <v>561201.6</v>
      </c>
      <c r="E106" s="625">
        <v>1</v>
      </c>
      <c r="F106" s="624">
        <f t="shared" si="12"/>
        <v>1</v>
      </c>
      <c r="G106" s="624">
        <f t="shared" si="12"/>
        <v>1</v>
      </c>
      <c r="H106" s="394">
        <f t="shared" si="11"/>
        <v>561201.6</v>
      </c>
      <c r="J106" s="772"/>
      <c r="K106" s="797"/>
    </row>
    <row r="107" spans="1:14">
      <c r="A107" s="1072">
        <f t="shared" si="9"/>
        <v>93</v>
      </c>
      <c r="B107" s="468"/>
      <c r="C107" s="4"/>
      <c r="D107" s="1145"/>
      <c r="E107" s="953"/>
      <c r="H107" s="791"/>
    </row>
    <row r="108" spans="1:14">
      <c r="A108" s="1072">
        <f t="shared" si="9"/>
        <v>94</v>
      </c>
      <c r="B108" s="510"/>
      <c r="C108" s="4" t="s">
        <v>1378</v>
      </c>
      <c r="D108" s="448">
        <f>SUM(D86:D107)</f>
        <v>1992024.2659726911</v>
      </c>
      <c r="E108" s="952"/>
      <c r="H108" s="385">
        <f>SUM(H86:H107)</f>
        <v>1843975.1961719263</v>
      </c>
    </row>
    <row r="109" spans="1:14">
      <c r="A109" s="1072">
        <f t="shared" si="9"/>
        <v>95</v>
      </c>
      <c r="B109" s="510"/>
      <c r="C109" s="4"/>
      <c r="D109" s="581"/>
      <c r="E109" s="953"/>
      <c r="H109" s="394"/>
    </row>
    <row r="110" spans="1:14">
      <c r="A110" s="1072">
        <f t="shared" si="9"/>
        <v>96</v>
      </c>
      <c r="B110" s="510"/>
      <c r="C110" s="4" t="s">
        <v>1375</v>
      </c>
      <c r="D110" s="448">
        <f>D108+D83+D59+D47+D26+D19</f>
        <v>18207839.468633674</v>
      </c>
      <c r="E110" s="952"/>
      <c r="H110" s="385">
        <f>H108+H83+H59+H47+H26+H19</f>
        <v>18059790.39883291</v>
      </c>
      <c r="K110" s="1058"/>
      <c r="L110" s="106"/>
      <c r="M110" s="771"/>
      <c r="N110" s="771"/>
    </row>
    <row r="111" spans="1:14">
      <c r="A111" s="1072">
        <f t="shared" si="9"/>
        <v>97</v>
      </c>
      <c r="B111" s="510"/>
      <c r="C111" s="4"/>
      <c r="D111" s="581"/>
      <c r="E111" s="1131"/>
    </row>
    <row r="112" spans="1:14">
      <c r="A112" s="1072">
        <f t="shared" si="9"/>
        <v>98</v>
      </c>
      <c r="B112" s="511"/>
      <c r="C112" s="107"/>
      <c r="D112" s="581"/>
      <c r="E112" s="1131"/>
    </row>
    <row r="113" spans="1:15">
      <c r="A113" s="1072">
        <f t="shared" si="9"/>
        <v>99</v>
      </c>
      <c r="B113" s="406"/>
      <c r="D113" s="581"/>
      <c r="E113" s="1131"/>
    </row>
    <row r="114" spans="1:15" ht="15.75">
      <c r="A114" s="1072">
        <f t="shared" si="9"/>
        <v>100</v>
      </c>
      <c r="B114" s="419" t="s">
        <v>7</v>
      </c>
      <c r="D114" s="581"/>
      <c r="E114" s="1131"/>
    </row>
    <row r="115" spans="1:15">
      <c r="A115" s="1072">
        <f t="shared" si="9"/>
        <v>101</v>
      </c>
      <c r="B115" s="406"/>
      <c r="D115" s="581"/>
      <c r="E115" s="1131"/>
    </row>
    <row r="116" spans="1:15">
      <c r="A116" s="1072">
        <f t="shared" si="9"/>
        <v>102</v>
      </c>
      <c r="B116" s="510"/>
      <c r="C116" s="17" t="s">
        <v>305</v>
      </c>
      <c r="D116" s="581"/>
      <c r="E116" s="1131"/>
    </row>
    <row r="117" spans="1:15">
      <c r="A117" s="1072">
        <f t="shared" si="9"/>
        <v>103</v>
      </c>
      <c r="B117" s="685">
        <v>30100</v>
      </c>
      <c r="C117" s="4" t="s">
        <v>299</v>
      </c>
      <c r="D117" s="448">
        <f>[3]Reserve!$BK61</f>
        <v>0</v>
      </c>
      <c r="E117" s="625">
        <v>1</v>
      </c>
      <c r="F117" s="624">
        <f>$F$16</f>
        <v>1</v>
      </c>
      <c r="G117" s="625">
        <f>Allocation!$D$17</f>
        <v>0.49090457251500325</v>
      </c>
      <c r="H117" s="385">
        <f>D117*E117*F117*G117</f>
        <v>0</v>
      </c>
    </row>
    <row r="118" spans="1:15">
      <c r="A118" s="1072">
        <f t="shared" si="9"/>
        <v>104</v>
      </c>
      <c r="B118" s="685">
        <v>30300</v>
      </c>
      <c r="C118" s="4" t="s">
        <v>558</v>
      </c>
      <c r="D118" s="448">
        <f>[3]Reserve!$BK62</f>
        <v>0</v>
      </c>
      <c r="E118" s="625">
        <v>1</v>
      </c>
      <c r="F118" s="624">
        <f>$F$16</f>
        <v>1</v>
      </c>
      <c r="G118" s="625">
        <f>$G$117</f>
        <v>0.49090457251500325</v>
      </c>
      <c r="H118" s="395">
        <f>D118*E118*F118*G118</f>
        <v>0</v>
      </c>
    </row>
    <row r="119" spans="1:15">
      <c r="A119" s="1072">
        <f t="shared" si="9"/>
        <v>105</v>
      </c>
      <c r="B119" s="685"/>
      <c r="C119" s="4"/>
      <c r="D119" s="106"/>
      <c r="E119" s="1131"/>
    </row>
    <row r="120" spans="1:15">
      <c r="A120" s="1072">
        <f t="shared" si="9"/>
        <v>106</v>
      </c>
      <c r="B120" s="468"/>
      <c r="C120" s="4" t="s">
        <v>1380</v>
      </c>
      <c r="D120" s="448">
        <f>SUM(D117:D119)</f>
        <v>0</v>
      </c>
      <c r="E120" s="952"/>
      <c r="F120" s="624"/>
      <c r="G120" s="624"/>
      <c r="H120" s="385">
        <f>SUM(H117:H119)</f>
        <v>0</v>
      </c>
    </row>
    <row r="121" spans="1:15">
      <c r="A121" s="1072">
        <f t="shared" si="9"/>
        <v>107</v>
      </c>
      <c r="B121" s="687"/>
      <c r="D121" s="106"/>
      <c r="E121" s="1131"/>
    </row>
    <row r="122" spans="1:15">
      <c r="A122" s="1072">
        <f t="shared" si="9"/>
        <v>108</v>
      </c>
      <c r="B122" s="468"/>
      <c r="C122" s="17" t="s">
        <v>307</v>
      </c>
      <c r="D122" s="106"/>
      <c r="E122" s="1131"/>
    </row>
    <row r="123" spans="1:15">
      <c r="A123" s="1072">
        <f t="shared" si="9"/>
        <v>109</v>
      </c>
      <c r="B123" s="685">
        <v>37400</v>
      </c>
      <c r="C123" s="4" t="s">
        <v>1168</v>
      </c>
      <c r="D123" s="448">
        <v>0</v>
      </c>
      <c r="E123" s="625">
        <v>1</v>
      </c>
      <c r="F123" s="624">
        <f t="shared" ref="F123:F143" si="13">$F$16</f>
        <v>1</v>
      </c>
      <c r="G123" s="625">
        <f t="shared" ref="G123:G143" si="14">$G$117</f>
        <v>0.49090457251500325</v>
      </c>
      <c r="H123" s="385">
        <f>D123*E123*F123*G123</f>
        <v>0</v>
      </c>
    </row>
    <row r="124" spans="1:15">
      <c r="A124" s="1072">
        <f t="shared" si="9"/>
        <v>110</v>
      </c>
      <c r="B124" s="685">
        <v>35010</v>
      </c>
      <c r="C124" s="4" t="s">
        <v>300</v>
      </c>
      <c r="D124" s="581">
        <v>0</v>
      </c>
      <c r="E124" s="625">
        <v>1</v>
      </c>
      <c r="F124" s="624">
        <f t="shared" si="13"/>
        <v>1</v>
      </c>
      <c r="G124" s="625">
        <f t="shared" si="14"/>
        <v>0.49090457251500325</v>
      </c>
      <c r="H124" s="394">
        <f t="shared" ref="H124:H143" si="15">D124*E124*F124*G124</f>
        <v>0</v>
      </c>
    </row>
    <row r="125" spans="1:15">
      <c r="A125" s="1072">
        <f t="shared" si="9"/>
        <v>111</v>
      </c>
      <c r="B125" s="685">
        <v>37402</v>
      </c>
      <c r="C125" s="4" t="s">
        <v>1018</v>
      </c>
      <c r="D125" s="581">
        <v>0</v>
      </c>
      <c r="E125" s="625">
        <v>1</v>
      </c>
      <c r="F125" s="624">
        <f t="shared" si="13"/>
        <v>1</v>
      </c>
      <c r="G125" s="625">
        <f t="shared" si="14"/>
        <v>0.49090457251500325</v>
      </c>
      <c r="H125" s="394">
        <f t="shared" si="15"/>
        <v>0</v>
      </c>
    </row>
    <row r="126" spans="1:15">
      <c r="A126" s="1072">
        <f t="shared" si="9"/>
        <v>112</v>
      </c>
      <c r="B126" s="685">
        <v>37403</v>
      </c>
      <c r="C126" s="4" t="s">
        <v>1015</v>
      </c>
      <c r="D126" s="581">
        <v>0</v>
      </c>
      <c r="E126" s="625">
        <v>1</v>
      </c>
      <c r="F126" s="624">
        <f t="shared" si="13"/>
        <v>1</v>
      </c>
      <c r="G126" s="625">
        <f t="shared" si="14"/>
        <v>0.49090457251500325</v>
      </c>
      <c r="H126" s="394">
        <f t="shared" si="15"/>
        <v>0</v>
      </c>
      <c r="O126" s="4"/>
    </row>
    <row r="127" spans="1:15">
      <c r="A127" s="1072">
        <f t="shared" si="9"/>
        <v>113</v>
      </c>
      <c r="B127" s="685">
        <v>36602</v>
      </c>
      <c r="C127" s="4" t="s">
        <v>874</v>
      </c>
      <c r="D127" s="581">
        <v>0</v>
      </c>
      <c r="E127" s="625">
        <v>1</v>
      </c>
      <c r="F127" s="624">
        <f t="shared" si="13"/>
        <v>1</v>
      </c>
      <c r="G127" s="625">
        <f t="shared" si="14"/>
        <v>0.49090457251500325</v>
      </c>
      <c r="H127" s="394">
        <f t="shared" si="15"/>
        <v>0</v>
      </c>
    </row>
    <row r="128" spans="1:15">
      <c r="A128" s="1072">
        <f t="shared" si="9"/>
        <v>114</v>
      </c>
      <c r="B128" s="685">
        <v>37501</v>
      </c>
      <c r="C128" s="4" t="s">
        <v>1016</v>
      </c>
      <c r="D128" s="581">
        <v>0</v>
      </c>
      <c r="E128" s="625">
        <v>1</v>
      </c>
      <c r="F128" s="624">
        <f t="shared" si="13"/>
        <v>1</v>
      </c>
      <c r="G128" s="625">
        <f t="shared" si="14"/>
        <v>0.49090457251500325</v>
      </c>
      <c r="H128" s="394">
        <f t="shared" si="15"/>
        <v>0</v>
      </c>
      <c r="O128" s="685"/>
    </row>
    <row r="129" spans="1:15">
      <c r="A129" s="1072">
        <f t="shared" si="9"/>
        <v>115</v>
      </c>
      <c r="B129" s="685">
        <v>37402</v>
      </c>
      <c r="C129" s="4" t="s">
        <v>1018</v>
      </c>
      <c r="D129" s="581">
        <v>0</v>
      </c>
      <c r="E129" s="625">
        <v>1</v>
      </c>
      <c r="F129" s="624">
        <f t="shared" si="13"/>
        <v>1</v>
      </c>
      <c r="G129" s="625">
        <f t="shared" si="14"/>
        <v>0.49090457251500325</v>
      </c>
      <c r="H129" s="394">
        <f t="shared" si="15"/>
        <v>0</v>
      </c>
    </row>
    <row r="130" spans="1:15">
      <c r="A130" s="1072">
        <f t="shared" si="9"/>
        <v>116</v>
      </c>
      <c r="B130" s="685">
        <v>37503</v>
      </c>
      <c r="C130" s="4" t="s">
        <v>1017</v>
      </c>
      <c r="D130" s="581">
        <v>0</v>
      </c>
      <c r="E130" s="625">
        <v>1</v>
      </c>
      <c r="F130" s="624">
        <f t="shared" si="13"/>
        <v>1</v>
      </c>
      <c r="G130" s="625">
        <f t="shared" si="14"/>
        <v>0.49090457251500325</v>
      </c>
      <c r="H130" s="394">
        <f t="shared" si="15"/>
        <v>0</v>
      </c>
      <c r="O130" s="685"/>
    </row>
    <row r="131" spans="1:15">
      <c r="A131" s="1072">
        <f t="shared" si="9"/>
        <v>117</v>
      </c>
      <c r="B131" s="685">
        <v>36700</v>
      </c>
      <c r="C131" s="4" t="s">
        <v>861</v>
      </c>
      <c r="D131" s="581">
        <v>0</v>
      </c>
      <c r="E131" s="625">
        <v>1</v>
      </c>
      <c r="F131" s="624">
        <f t="shared" si="13"/>
        <v>1</v>
      </c>
      <c r="G131" s="625">
        <f t="shared" si="14"/>
        <v>0.49090457251500325</v>
      </c>
      <c r="H131" s="394">
        <f t="shared" si="15"/>
        <v>0</v>
      </c>
    </row>
    <row r="132" spans="1:15">
      <c r="A132" s="1072">
        <f t="shared" si="9"/>
        <v>118</v>
      </c>
      <c r="B132" s="685">
        <v>36701</v>
      </c>
      <c r="C132" s="4" t="s">
        <v>16</v>
      </c>
      <c r="D132" s="581">
        <v>0</v>
      </c>
      <c r="E132" s="625">
        <v>1</v>
      </c>
      <c r="F132" s="624">
        <f t="shared" si="13"/>
        <v>1</v>
      </c>
      <c r="G132" s="625">
        <f t="shared" si="14"/>
        <v>0.49090457251500325</v>
      </c>
      <c r="H132" s="394">
        <f t="shared" si="15"/>
        <v>0</v>
      </c>
    </row>
    <row r="133" spans="1:15">
      <c r="A133" s="1072">
        <f t="shared" si="9"/>
        <v>119</v>
      </c>
      <c r="B133" s="685">
        <v>37602</v>
      </c>
      <c r="C133" s="4" t="s">
        <v>862</v>
      </c>
      <c r="D133" s="581">
        <v>0</v>
      </c>
      <c r="E133" s="625">
        <v>1</v>
      </c>
      <c r="F133" s="624">
        <f t="shared" si="13"/>
        <v>1</v>
      </c>
      <c r="G133" s="625">
        <f t="shared" si="14"/>
        <v>0.49090457251500325</v>
      </c>
      <c r="H133" s="394">
        <f t="shared" si="15"/>
        <v>0</v>
      </c>
    </row>
    <row r="134" spans="1:15">
      <c r="A134" s="1072">
        <f t="shared" si="9"/>
        <v>120</v>
      </c>
      <c r="B134" s="685">
        <v>37800</v>
      </c>
      <c r="C134" s="4" t="s">
        <v>234</v>
      </c>
      <c r="D134" s="581">
        <v>0</v>
      </c>
      <c r="E134" s="625">
        <v>1</v>
      </c>
      <c r="F134" s="624">
        <f t="shared" si="13"/>
        <v>1</v>
      </c>
      <c r="G134" s="625">
        <f t="shared" si="14"/>
        <v>0.49090457251500325</v>
      </c>
      <c r="H134" s="394">
        <f t="shared" si="15"/>
        <v>0</v>
      </c>
      <c r="M134" s="957"/>
      <c r="N134" s="955"/>
      <c r="O134" s="106"/>
    </row>
    <row r="135" spans="1:15">
      <c r="A135" s="1072">
        <f t="shared" si="9"/>
        <v>121</v>
      </c>
      <c r="B135" s="685">
        <v>37900</v>
      </c>
      <c r="C135" s="4" t="s">
        <v>1211</v>
      </c>
      <c r="D135" s="581">
        <v>0</v>
      </c>
      <c r="E135" s="625">
        <v>1</v>
      </c>
      <c r="F135" s="624">
        <f t="shared" si="13"/>
        <v>1</v>
      </c>
      <c r="G135" s="625">
        <f t="shared" si="14"/>
        <v>0.49090457251500325</v>
      </c>
      <c r="H135" s="394">
        <f t="shared" si="15"/>
        <v>0</v>
      </c>
    </row>
    <row r="136" spans="1:15">
      <c r="A136" s="1072">
        <f t="shared" si="9"/>
        <v>122</v>
      </c>
      <c r="B136" s="685">
        <v>37905</v>
      </c>
      <c r="C136" s="4" t="s">
        <v>742</v>
      </c>
      <c r="D136" s="581">
        <v>0</v>
      </c>
      <c r="E136" s="625">
        <v>1</v>
      </c>
      <c r="F136" s="624">
        <f t="shared" si="13"/>
        <v>1</v>
      </c>
      <c r="G136" s="625">
        <f t="shared" si="14"/>
        <v>0.49090457251500325</v>
      </c>
      <c r="H136" s="394">
        <f t="shared" si="15"/>
        <v>0</v>
      </c>
      <c r="M136" s="954"/>
      <c r="N136" s="956"/>
    </row>
    <row r="137" spans="1:15">
      <c r="A137" s="1072">
        <f t="shared" si="9"/>
        <v>123</v>
      </c>
      <c r="B137" s="685">
        <v>38000</v>
      </c>
      <c r="C137" s="4" t="s">
        <v>1072</v>
      </c>
      <c r="D137" s="581">
        <v>0</v>
      </c>
      <c r="E137" s="625">
        <v>1</v>
      </c>
      <c r="F137" s="624">
        <f t="shared" si="13"/>
        <v>1</v>
      </c>
      <c r="G137" s="625">
        <f t="shared" si="14"/>
        <v>0.49090457251500325</v>
      </c>
      <c r="H137" s="394">
        <f t="shared" si="15"/>
        <v>0</v>
      </c>
    </row>
    <row r="138" spans="1:15">
      <c r="A138" s="1072">
        <f t="shared" si="9"/>
        <v>124</v>
      </c>
      <c r="B138" s="685">
        <v>38100</v>
      </c>
      <c r="C138" s="4" t="s">
        <v>863</v>
      </c>
      <c r="D138" s="581">
        <v>0</v>
      </c>
      <c r="E138" s="625">
        <v>1</v>
      </c>
      <c r="F138" s="624">
        <f t="shared" si="13"/>
        <v>1</v>
      </c>
      <c r="G138" s="625">
        <f t="shared" si="14"/>
        <v>0.49090457251500325</v>
      </c>
      <c r="H138" s="394">
        <f t="shared" si="15"/>
        <v>0</v>
      </c>
      <c r="M138" s="954"/>
      <c r="N138" s="955"/>
    </row>
    <row r="139" spans="1:15">
      <c r="A139" s="1072">
        <f t="shared" si="9"/>
        <v>125</v>
      </c>
      <c r="B139" s="685">
        <v>38200</v>
      </c>
      <c r="C139" s="4" t="s">
        <v>456</v>
      </c>
      <c r="D139" s="581">
        <v>0</v>
      </c>
      <c r="E139" s="625">
        <v>1</v>
      </c>
      <c r="F139" s="624">
        <f t="shared" si="13"/>
        <v>1</v>
      </c>
      <c r="G139" s="625">
        <f t="shared" si="14"/>
        <v>0.49090457251500325</v>
      </c>
      <c r="H139" s="394">
        <f t="shared" si="15"/>
        <v>0</v>
      </c>
    </row>
    <row r="140" spans="1:15">
      <c r="A140" s="1072">
        <f t="shared" si="9"/>
        <v>126</v>
      </c>
      <c r="B140" s="685">
        <v>38300</v>
      </c>
      <c r="C140" s="4" t="s">
        <v>1073</v>
      </c>
      <c r="D140" s="581">
        <v>0</v>
      </c>
      <c r="E140" s="625">
        <v>1</v>
      </c>
      <c r="F140" s="624">
        <f t="shared" si="13"/>
        <v>1</v>
      </c>
      <c r="G140" s="625">
        <f t="shared" si="14"/>
        <v>0.49090457251500325</v>
      </c>
      <c r="H140" s="394">
        <f t="shared" si="15"/>
        <v>0</v>
      </c>
      <c r="M140" s="954"/>
      <c r="N140" s="955"/>
    </row>
    <row r="141" spans="1:15">
      <c r="A141" s="1072">
        <f t="shared" si="9"/>
        <v>127</v>
      </c>
      <c r="B141" s="685">
        <v>38400</v>
      </c>
      <c r="C141" s="4" t="s">
        <v>457</v>
      </c>
      <c r="D141" s="581">
        <v>0</v>
      </c>
      <c r="E141" s="625">
        <v>1</v>
      </c>
      <c r="F141" s="624">
        <f t="shared" si="13"/>
        <v>1</v>
      </c>
      <c r="G141" s="625">
        <f t="shared" si="14"/>
        <v>0.49090457251500325</v>
      </c>
      <c r="H141" s="394">
        <f t="shared" si="15"/>
        <v>0</v>
      </c>
    </row>
    <row r="142" spans="1:15">
      <c r="A142" s="1072">
        <f t="shared" si="9"/>
        <v>128</v>
      </c>
      <c r="B142" s="685">
        <v>38500</v>
      </c>
      <c r="C142" s="4" t="s">
        <v>458</v>
      </c>
      <c r="D142" s="581">
        <v>0</v>
      </c>
      <c r="E142" s="625">
        <v>1</v>
      </c>
      <c r="F142" s="624">
        <f t="shared" si="13"/>
        <v>1</v>
      </c>
      <c r="G142" s="625">
        <f t="shared" si="14"/>
        <v>0.49090457251500325</v>
      </c>
      <c r="H142" s="394">
        <f t="shared" si="15"/>
        <v>0</v>
      </c>
    </row>
    <row r="143" spans="1:15">
      <c r="A143" s="1072">
        <f t="shared" si="9"/>
        <v>129</v>
      </c>
      <c r="B143" s="685">
        <v>38600</v>
      </c>
      <c r="C143" s="4" t="s">
        <v>111</v>
      </c>
      <c r="D143" s="1144">
        <v>0</v>
      </c>
      <c r="E143" s="625">
        <v>1</v>
      </c>
      <c r="F143" s="624">
        <f t="shared" si="13"/>
        <v>1</v>
      </c>
      <c r="G143" s="625">
        <f t="shared" si="14"/>
        <v>0.49090457251500325</v>
      </c>
      <c r="H143" s="395">
        <f t="shared" si="15"/>
        <v>0</v>
      </c>
    </row>
    <row r="144" spans="1:15">
      <c r="A144" s="1072">
        <f t="shared" si="9"/>
        <v>130</v>
      </c>
      <c r="B144" s="685"/>
      <c r="C144" s="4"/>
      <c r="D144" s="106"/>
      <c r="E144" s="1131"/>
    </row>
    <row r="145" spans="1:14">
      <c r="A145" s="1072">
        <f t="shared" ref="A145:A208" si="16">A144+1</f>
        <v>131</v>
      </c>
      <c r="B145" s="685"/>
      <c r="C145" s="4" t="s">
        <v>1379</v>
      </c>
      <c r="D145" s="448">
        <f>SUM(D123:D144)</f>
        <v>0</v>
      </c>
      <c r="E145" s="952"/>
      <c r="H145" s="385">
        <f>SUM(H123:H144)</f>
        <v>0</v>
      </c>
    </row>
    <row r="146" spans="1:14">
      <c r="A146" s="1072">
        <f t="shared" si="16"/>
        <v>132</v>
      </c>
      <c r="B146" s="685"/>
      <c r="C146" s="4"/>
      <c r="D146" s="106"/>
      <c r="E146" s="1131"/>
    </row>
    <row r="147" spans="1:14">
      <c r="A147" s="1072">
        <f t="shared" si="16"/>
        <v>133</v>
      </c>
      <c r="B147" s="468"/>
      <c r="C147" s="17" t="s">
        <v>309</v>
      </c>
      <c r="D147" s="106"/>
      <c r="E147" s="1131"/>
    </row>
    <row r="148" spans="1:14">
      <c r="A148" s="1072">
        <f t="shared" si="16"/>
        <v>134</v>
      </c>
      <c r="B148" s="685">
        <v>39001</v>
      </c>
      <c r="C148" s="4" t="s">
        <v>556</v>
      </c>
      <c r="D148" s="448">
        <f>[3]Reserve!$BK63</f>
        <v>4806.272336</v>
      </c>
      <c r="E148" s="625">
        <v>1</v>
      </c>
      <c r="F148" s="624">
        <f t="shared" ref="F148:F163" si="17">$F$16</f>
        <v>1</v>
      </c>
      <c r="G148" s="625">
        <f t="shared" ref="G148:G163" si="18">$G$117</f>
        <v>0.49090457251500325</v>
      </c>
      <c r="H148" s="385">
        <f t="shared" ref="H148:H163" si="19">D148*E148*F148*G148</f>
        <v>2359.4210664947659</v>
      </c>
      <c r="N148" s="625"/>
    </row>
    <row r="149" spans="1:14">
      <c r="A149" s="1072">
        <f t="shared" si="16"/>
        <v>135</v>
      </c>
      <c r="B149" s="685">
        <v>39004</v>
      </c>
      <c r="C149" s="4" t="s">
        <v>459</v>
      </c>
      <c r="D149" s="448">
        <f>[3]Reserve!$BK64</f>
        <v>0</v>
      </c>
      <c r="E149" s="625">
        <v>1</v>
      </c>
      <c r="F149" s="624">
        <f t="shared" si="17"/>
        <v>1</v>
      </c>
      <c r="G149" s="625">
        <f t="shared" si="18"/>
        <v>0.49090457251500325</v>
      </c>
      <c r="H149" s="394">
        <f t="shared" si="19"/>
        <v>0</v>
      </c>
      <c r="N149" s="625"/>
    </row>
    <row r="150" spans="1:14">
      <c r="A150" s="1072">
        <f t="shared" si="16"/>
        <v>136</v>
      </c>
      <c r="B150" s="685">
        <v>39009</v>
      </c>
      <c r="C150" s="4" t="s">
        <v>1056</v>
      </c>
      <c r="D150" s="448">
        <f>[3]Reserve!$BK65</f>
        <v>7659.75</v>
      </c>
      <c r="E150" s="625">
        <v>1</v>
      </c>
      <c r="F150" s="624">
        <f t="shared" si="17"/>
        <v>1</v>
      </c>
      <c r="G150" s="625">
        <f t="shared" si="18"/>
        <v>0.49090457251500325</v>
      </c>
      <c r="H150" s="394">
        <f t="shared" si="19"/>
        <v>3760.206299321796</v>
      </c>
      <c r="N150" s="625"/>
    </row>
    <row r="151" spans="1:14">
      <c r="A151" s="1072">
        <f t="shared" si="16"/>
        <v>137</v>
      </c>
      <c r="B151" s="685">
        <v>39100</v>
      </c>
      <c r="C151" s="4" t="s">
        <v>796</v>
      </c>
      <c r="D151" s="448">
        <f>[3]Reserve!$BK66</f>
        <v>1244.0405833333336</v>
      </c>
      <c r="E151" s="625">
        <v>1</v>
      </c>
      <c r="F151" s="624">
        <f t="shared" si="17"/>
        <v>1</v>
      </c>
      <c r="G151" s="625">
        <f t="shared" si="18"/>
        <v>0.49090457251500325</v>
      </c>
      <c r="H151" s="394">
        <f t="shared" si="19"/>
        <v>610.70521075256545</v>
      </c>
      <c r="N151" s="625"/>
    </row>
    <row r="152" spans="1:14">
      <c r="A152" s="1072">
        <f t="shared" si="16"/>
        <v>138</v>
      </c>
      <c r="B152" s="685">
        <v>39200</v>
      </c>
      <c r="C152" s="4" t="s">
        <v>1096</v>
      </c>
      <c r="D152" s="448">
        <f>[3]Reserve!$BK67</f>
        <v>0</v>
      </c>
      <c r="E152" s="1149">
        <f>'[4]Base period Actuals'!$L$15</f>
        <v>1</v>
      </c>
      <c r="F152" s="624">
        <f t="shared" si="17"/>
        <v>1</v>
      </c>
      <c r="G152" s="625">
        <f t="shared" si="18"/>
        <v>0.49090457251500325</v>
      </c>
      <c r="H152" s="394">
        <f t="shared" si="19"/>
        <v>0</v>
      </c>
      <c r="K152" s="797"/>
      <c r="N152" s="625"/>
    </row>
    <row r="153" spans="1:14">
      <c r="A153" s="1072">
        <f t="shared" si="16"/>
        <v>139</v>
      </c>
      <c r="B153" s="685">
        <v>39400</v>
      </c>
      <c r="C153" s="4" t="s">
        <v>1055</v>
      </c>
      <c r="D153" s="448">
        <f>[3]Reserve!$BK68</f>
        <v>5566.0536400000019</v>
      </c>
      <c r="E153" s="1149">
        <f>'[4]Base period Actuals'!$L$21</f>
        <v>0.43606356895167786</v>
      </c>
      <c r="F153" s="624">
        <f t="shared" si="17"/>
        <v>1</v>
      </c>
      <c r="G153" s="625">
        <f t="shared" si="18"/>
        <v>0.49090457251500325</v>
      </c>
      <c r="H153" s="394">
        <f t="shared" si="19"/>
        <v>1191.5006115532935</v>
      </c>
      <c r="K153" s="797"/>
      <c r="N153" s="625"/>
    </row>
    <row r="154" spans="1:14">
      <c r="A154" s="1072">
        <f t="shared" si="16"/>
        <v>140</v>
      </c>
      <c r="B154" s="685">
        <v>39600</v>
      </c>
      <c r="C154" s="4" t="s">
        <v>557</v>
      </c>
      <c r="D154" s="448">
        <f>[3]Reserve!$BK69</f>
        <v>481.22061200000007</v>
      </c>
      <c r="E154" s="1149">
        <f>'[4]Base period Actuals'!$L$17</f>
        <v>2.0000858405940236E-2</v>
      </c>
      <c r="F154" s="624">
        <f t="shared" si="17"/>
        <v>1</v>
      </c>
      <c r="G154" s="625">
        <f t="shared" si="18"/>
        <v>0.49090457251500325</v>
      </c>
      <c r="H154" s="394">
        <f t="shared" si="19"/>
        <v>4.7248707605381943</v>
      </c>
      <c r="K154" s="797"/>
      <c r="N154" s="625"/>
    </row>
    <row r="155" spans="1:14">
      <c r="A155" s="1072">
        <f t="shared" si="16"/>
        <v>141</v>
      </c>
      <c r="B155" s="468">
        <v>39700</v>
      </c>
      <c r="C155" s="4" t="s">
        <v>454</v>
      </c>
      <c r="D155" s="448">
        <f>[3]Reserve!$BK70</f>
        <v>5296.2787905000005</v>
      </c>
      <c r="E155" s="625">
        <v>1</v>
      </c>
      <c r="F155" s="624">
        <f t="shared" si="17"/>
        <v>1</v>
      </c>
      <c r="G155" s="625">
        <f t="shared" si="18"/>
        <v>0.49090457251500325</v>
      </c>
      <c r="H155" s="394">
        <f t="shared" si="19"/>
        <v>2599.967475570681</v>
      </c>
      <c r="N155" s="625"/>
    </row>
    <row r="156" spans="1:14">
      <c r="A156" s="1072">
        <f t="shared" si="16"/>
        <v>142</v>
      </c>
      <c r="B156" s="468">
        <v>39800</v>
      </c>
      <c r="C156" s="4" t="s">
        <v>666</v>
      </c>
      <c r="D156" s="448">
        <f>[3]Reserve!$BK71</f>
        <v>30613.317846000009</v>
      </c>
      <c r="E156" s="625">
        <v>1</v>
      </c>
      <c r="F156" s="624">
        <f t="shared" si="17"/>
        <v>1</v>
      </c>
      <c r="G156" s="625">
        <f t="shared" si="18"/>
        <v>0.49090457251500325</v>
      </c>
      <c r="H156" s="394">
        <f t="shared" si="19"/>
        <v>15028.217710456554</v>
      </c>
      <c r="N156" s="625"/>
    </row>
    <row r="157" spans="1:14">
      <c r="A157" s="1072">
        <f t="shared" si="16"/>
        <v>143</v>
      </c>
      <c r="B157" s="468">
        <v>39900</v>
      </c>
      <c r="C157" s="4" t="s">
        <v>1173</v>
      </c>
      <c r="D157" s="448">
        <f>[3]Reserve!$BK72</f>
        <v>0</v>
      </c>
      <c r="E157" s="625">
        <v>1</v>
      </c>
      <c r="F157" s="624">
        <f t="shared" si="17"/>
        <v>1</v>
      </c>
      <c r="G157" s="625">
        <f t="shared" si="18"/>
        <v>0.49090457251500325</v>
      </c>
      <c r="H157" s="394">
        <f t="shared" si="19"/>
        <v>0</v>
      </c>
      <c r="N157" s="625"/>
    </row>
    <row r="158" spans="1:14">
      <c r="A158" s="1072">
        <f t="shared" si="16"/>
        <v>144</v>
      </c>
      <c r="B158" s="468">
        <v>39901</v>
      </c>
      <c r="C158" s="4" t="s">
        <v>489</v>
      </c>
      <c r="D158" s="448">
        <f>[3]Reserve!$BK73</f>
        <v>21684.193019999995</v>
      </c>
      <c r="E158" s="625">
        <v>1</v>
      </c>
      <c r="F158" s="624">
        <f t="shared" si="17"/>
        <v>1</v>
      </c>
      <c r="G158" s="625">
        <f t="shared" si="18"/>
        <v>0.49090457251500325</v>
      </c>
      <c r="H158" s="394">
        <f t="shared" si="19"/>
        <v>10644.869504815915</v>
      </c>
      <c r="N158" s="625"/>
    </row>
    <row r="159" spans="1:14">
      <c r="A159" s="1072">
        <f t="shared" si="16"/>
        <v>145</v>
      </c>
      <c r="B159" s="468">
        <v>39902</v>
      </c>
      <c r="C159" s="4" t="s">
        <v>979</v>
      </c>
      <c r="D159" s="448">
        <f>[3]Reserve!$BK74</f>
        <v>0</v>
      </c>
      <c r="E159" s="625">
        <v>1</v>
      </c>
      <c r="F159" s="624">
        <f t="shared" si="17"/>
        <v>1</v>
      </c>
      <c r="G159" s="625">
        <f t="shared" si="18"/>
        <v>0.49090457251500325</v>
      </c>
      <c r="H159" s="394">
        <f t="shared" si="19"/>
        <v>0</v>
      </c>
      <c r="N159" s="625"/>
    </row>
    <row r="160" spans="1:14">
      <c r="A160" s="1072">
        <f t="shared" si="16"/>
        <v>146</v>
      </c>
      <c r="B160" s="468">
        <v>39903</v>
      </c>
      <c r="C160" s="4" t="s">
        <v>1022</v>
      </c>
      <c r="D160" s="448">
        <f>[3]Reserve!$BK75</f>
        <v>0</v>
      </c>
      <c r="E160" s="625">
        <v>1</v>
      </c>
      <c r="F160" s="624">
        <f t="shared" si="17"/>
        <v>1</v>
      </c>
      <c r="G160" s="625">
        <f t="shared" si="18"/>
        <v>0.49090457251500325</v>
      </c>
      <c r="H160" s="394">
        <f t="shared" si="19"/>
        <v>0</v>
      </c>
      <c r="N160" s="625"/>
    </row>
    <row r="161" spans="1:14">
      <c r="A161" s="1072">
        <f t="shared" si="16"/>
        <v>147</v>
      </c>
      <c r="B161" s="468">
        <v>39906</v>
      </c>
      <c r="C161" s="4" t="s">
        <v>465</v>
      </c>
      <c r="D161" s="448">
        <f>[3]Reserve!$BK76</f>
        <v>0</v>
      </c>
      <c r="E161" s="625">
        <v>1</v>
      </c>
      <c r="F161" s="624">
        <f t="shared" si="17"/>
        <v>1</v>
      </c>
      <c r="G161" s="625">
        <f t="shared" si="18"/>
        <v>0.49090457251500325</v>
      </c>
      <c r="H161" s="394">
        <f t="shared" si="19"/>
        <v>0</v>
      </c>
      <c r="N161" s="625"/>
    </row>
    <row r="162" spans="1:14">
      <c r="A162" s="1072">
        <f t="shared" si="16"/>
        <v>148</v>
      </c>
      <c r="B162" s="468">
        <v>39907</v>
      </c>
      <c r="C162" s="4" t="s">
        <v>520</v>
      </c>
      <c r="D162" s="448">
        <f>[3]Reserve!$BK77</f>
        <v>8319.1757770000022</v>
      </c>
      <c r="E162" s="625">
        <v>1</v>
      </c>
      <c r="F162" s="624">
        <f t="shared" si="17"/>
        <v>1</v>
      </c>
      <c r="G162" s="625">
        <f t="shared" si="18"/>
        <v>0.49090457251500325</v>
      </c>
      <c r="H162" s="394">
        <f t="shared" si="19"/>
        <v>4083.921428485356</v>
      </c>
      <c r="N162" s="625"/>
    </row>
    <row r="163" spans="1:14">
      <c r="A163" s="1072">
        <f t="shared" si="16"/>
        <v>149</v>
      </c>
      <c r="B163" s="468">
        <v>39908</v>
      </c>
      <c r="C163" s="4" t="s">
        <v>184</v>
      </c>
      <c r="D163" s="448">
        <f>[3]Reserve!$BK78</f>
        <v>0</v>
      </c>
      <c r="E163" s="625">
        <v>1</v>
      </c>
      <c r="F163" s="624">
        <f t="shared" si="17"/>
        <v>1</v>
      </c>
      <c r="G163" s="625">
        <f t="shared" si="18"/>
        <v>0.49090457251500325</v>
      </c>
      <c r="H163" s="394">
        <f t="shared" si="19"/>
        <v>0</v>
      </c>
      <c r="N163" s="625"/>
    </row>
    <row r="164" spans="1:14">
      <c r="A164" s="1072">
        <f t="shared" si="16"/>
        <v>150</v>
      </c>
      <c r="B164" s="468"/>
      <c r="C164" s="115"/>
      <c r="D164" s="581"/>
      <c r="E164" s="625"/>
      <c r="F164" s="624"/>
      <c r="G164" s="625"/>
      <c r="H164" s="394"/>
    </row>
    <row r="165" spans="1:14">
      <c r="A165" s="1072">
        <f t="shared" si="16"/>
        <v>151</v>
      </c>
      <c r="B165" s="510"/>
      <c r="C165" s="4"/>
      <c r="D165" s="812"/>
      <c r="E165" s="1140"/>
      <c r="H165" s="789"/>
    </row>
    <row r="166" spans="1:14">
      <c r="A166" s="1072">
        <f t="shared" si="16"/>
        <v>152</v>
      </c>
      <c r="B166" s="510"/>
      <c r="C166" s="4" t="s">
        <v>1378</v>
      </c>
      <c r="D166" s="448">
        <f>SUM(D148:D164)</f>
        <v>85670.302604833341</v>
      </c>
      <c r="E166" s="1150"/>
      <c r="H166" s="385">
        <f>SUM(H148:H164)</f>
        <v>40283.53417821147</v>
      </c>
    </row>
    <row r="167" spans="1:14">
      <c r="A167" s="1072">
        <f t="shared" si="16"/>
        <v>153</v>
      </c>
      <c r="B167" s="510"/>
      <c r="C167" s="4"/>
      <c r="D167" s="106"/>
      <c r="E167" s="1140"/>
    </row>
    <row r="168" spans="1:14" ht="15.75" thickBot="1">
      <c r="A168" s="1072">
        <f t="shared" si="16"/>
        <v>154</v>
      </c>
      <c r="B168" s="510"/>
      <c r="C168" s="4" t="s">
        <v>1374</v>
      </c>
      <c r="D168" s="428">
        <f>D120+D145+D166</f>
        <v>85670.302604833341</v>
      </c>
      <c r="E168" s="1150"/>
      <c r="H168" s="425">
        <f>H120+H145+H166</f>
        <v>40283.53417821147</v>
      </c>
      <c r="K168" s="1058"/>
      <c r="L168" s="106"/>
    </row>
    <row r="169" spans="1:14" ht="15.75" thickTop="1">
      <c r="A169" s="1072">
        <f t="shared" si="16"/>
        <v>155</v>
      </c>
      <c r="B169" s="406"/>
      <c r="D169" s="581"/>
      <c r="E169" s="1140"/>
    </row>
    <row r="170" spans="1:14" ht="15.75">
      <c r="A170" s="1072">
        <f t="shared" si="16"/>
        <v>156</v>
      </c>
      <c r="B170" s="419" t="s">
        <v>8</v>
      </c>
      <c r="D170" s="581"/>
      <c r="E170" s="1131"/>
    </row>
    <row r="171" spans="1:14">
      <c r="A171" s="1072">
        <f t="shared" si="16"/>
        <v>157</v>
      </c>
      <c r="D171" s="581"/>
      <c r="E171" s="1131"/>
    </row>
    <row r="172" spans="1:14">
      <c r="A172" s="1072">
        <f t="shared" si="16"/>
        <v>158</v>
      </c>
      <c r="B172" s="510"/>
      <c r="C172" s="813" t="s">
        <v>309</v>
      </c>
      <c r="D172" s="581"/>
      <c r="E172" s="1131"/>
      <c r="F172" s="241"/>
    </row>
    <row r="173" spans="1:14">
      <c r="A173" s="1072">
        <f t="shared" si="16"/>
        <v>159</v>
      </c>
      <c r="B173" s="685">
        <v>39000</v>
      </c>
      <c r="C173" s="115" t="s">
        <v>874</v>
      </c>
      <c r="D173" s="448">
        <f>[3]Reserve!$BK7</f>
        <v>70255.987255329164</v>
      </c>
      <c r="E173" s="623">
        <v>1</v>
      </c>
      <c r="F173" s="625">
        <f>Allocation!$C$14</f>
        <v>0.1071</v>
      </c>
      <c r="G173" s="625">
        <f>Allocation!$D$14</f>
        <v>0.49090457251500325</v>
      </c>
      <c r="H173" s="385">
        <f>D173*E173*F173*G173</f>
        <v>3693.7703352900858</v>
      </c>
      <c r="N173" s="625"/>
    </row>
    <row r="174" spans="1:14">
      <c r="A174" s="1072">
        <f t="shared" si="16"/>
        <v>160</v>
      </c>
      <c r="B174" s="685">
        <v>39005</v>
      </c>
      <c r="C174" s="115" t="s">
        <v>1217</v>
      </c>
      <c r="D174" s="448">
        <f>[3]Reserve!$BK8</f>
        <v>276901.95535100001</v>
      </c>
      <c r="E174" s="623">
        <v>1</v>
      </c>
      <c r="F174" s="811">
        <v>1</v>
      </c>
      <c r="G174" s="625">
        <f>Allocation!$I$20</f>
        <v>1.5418259551017742E-2</v>
      </c>
      <c r="H174" s="394">
        <f t="shared" ref="H174:H194" si="20">D174*E174*F174*G174</f>
        <v>4269.3462177860447</v>
      </c>
      <c r="N174" s="625"/>
    </row>
    <row r="175" spans="1:14">
      <c r="A175" s="1072">
        <f t="shared" si="16"/>
        <v>161</v>
      </c>
      <c r="B175" s="685">
        <v>39009</v>
      </c>
      <c r="C175" s="115" t="s">
        <v>1056</v>
      </c>
      <c r="D175" s="448">
        <f>[3]Reserve!$BK9</f>
        <v>314437.93366501841</v>
      </c>
      <c r="E175" s="623">
        <v>1</v>
      </c>
      <c r="F175" s="625">
        <f t="shared" ref="F175:F196" si="21">$F$173</f>
        <v>0.1071</v>
      </c>
      <c r="G175" s="558">
        <f t="shared" ref="G175:G196" si="22">$G$173</f>
        <v>0.49090457251500325</v>
      </c>
      <c r="H175" s="394">
        <f t="shared" si="20"/>
        <v>16531.850978631803</v>
      </c>
      <c r="N175" s="625"/>
    </row>
    <row r="176" spans="1:14">
      <c r="A176" s="1072">
        <f t="shared" si="16"/>
        <v>162</v>
      </c>
      <c r="B176" s="685">
        <v>39100</v>
      </c>
      <c r="C176" s="115" t="s">
        <v>796</v>
      </c>
      <c r="D176" s="448">
        <f>[3]Reserve!$BK10</f>
        <v>445069.94758115447</v>
      </c>
      <c r="E176" s="623">
        <v>1</v>
      </c>
      <c r="F176" s="625">
        <f t="shared" si="21"/>
        <v>0.1071</v>
      </c>
      <c r="G176" s="558">
        <f t="shared" si="22"/>
        <v>0.49090457251500325</v>
      </c>
      <c r="H176" s="394">
        <f t="shared" si="20"/>
        <v>23399.944029392023</v>
      </c>
      <c r="N176" s="625"/>
    </row>
    <row r="177" spans="1:14">
      <c r="A177" s="1072">
        <f t="shared" si="16"/>
        <v>163</v>
      </c>
      <c r="B177" s="685">
        <v>39102</v>
      </c>
      <c r="C177" s="115" t="s">
        <v>542</v>
      </c>
      <c r="D177" s="448">
        <f>[3]Reserve!$BK11</f>
        <v>0</v>
      </c>
      <c r="E177" s="623">
        <v>1</v>
      </c>
      <c r="F177" s="625">
        <f t="shared" si="21"/>
        <v>0.1071</v>
      </c>
      <c r="G177" s="558">
        <f t="shared" si="22"/>
        <v>0.49090457251500325</v>
      </c>
      <c r="H177" s="394">
        <f t="shared" si="20"/>
        <v>0</v>
      </c>
      <c r="N177" s="625"/>
    </row>
    <row r="178" spans="1:14">
      <c r="A178" s="1072">
        <f t="shared" si="16"/>
        <v>164</v>
      </c>
      <c r="B178" s="686">
        <v>39103</v>
      </c>
      <c r="C178" s="115" t="s">
        <v>797</v>
      </c>
      <c r="D178" s="448">
        <f>[3]Reserve!$BK12</f>
        <v>0</v>
      </c>
      <c r="E178" s="623">
        <v>1</v>
      </c>
      <c r="F178" s="625">
        <f t="shared" si="21"/>
        <v>0.1071</v>
      </c>
      <c r="G178" s="558">
        <f t="shared" si="22"/>
        <v>0.49090457251500325</v>
      </c>
      <c r="H178" s="394">
        <f t="shared" si="20"/>
        <v>0</v>
      </c>
      <c r="N178" s="625"/>
    </row>
    <row r="179" spans="1:14">
      <c r="A179" s="1072">
        <f t="shared" si="16"/>
        <v>165</v>
      </c>
      <c r="B179" s="685">
        <v>39104</v>
      </c>
      <c r="C179" s="106" t="s">
        <v>1218</v>
      </c>
      <c r="D179" s="448">
        <f>[3]Reserve!$BK13</f>
        <v>2524.1376600000003</v>
      </c>
      <c r="E179" s="623">
        <v>1</v>
      </c>
      <c r="F179" s="811">
        <v>1</v>
      </c>
      <c r="G179" s="625">
        <f>Allocation!$I$20</f>
        <v>1.5418259551017742E-2</v>
      </c>
      <c r="H179" s="394">
        <f t="shared" si="20"/>
        <v>38.917809584378581</v>
      </c>
      <c r="N179" s="625"/>
    </row>
    <row r="180" spans="1:14">
      <c r="A180" s="1072">
        <f t="shared" si="16"/>
        <v>166</v>
      </c>
      <c r="B180" s="685">
        <v>39200</v>
      </c>
      <c r="C180" s="115" t="s">
        <v>1096</v>
      </c>
      <c r="D180" s="448">
        <f>[3]Reserve!$BK14</f>
        <v>718.73862850000012</v>
      </c>
      <c r="E180" s="623">
        <v>1</v>
      </c>
      <c r="F180" s="625">
        <f t="shared" si="21"/>
        <v>0.1071</v>
      </c>
      <c r="G180" s="558">
        <f t="shared" si="22"/>
        <v>0.49090457251500325</v>
      </c>
      <c r="H180" s="394">
        <f t="shared" si="20"/>
        <v>37.7883156795153</v>
      </c>
      <c r="N180" s="625"/>
    </row>
    <row r="181" spans="1:14">
      <c r="A181" s="1072">
        <f t="shared" si="16"/>
        <v>167</v>
      </c>
      <c r="B181" s="685">
        <v>39300</v>
      </c>
      <c r="C181" s="115" t="s">
        <v>665</v>
      </c>
      <c r="D181" s="448">
        <f>[3]Reserve!$BK15</f>
        <v>0</v>
      </c>
      <c r="E181" s="623">
        <v>1</v>
      </c>
      <c r="F181" s="625">
        <f t="shared" si="21"/>
        <v>0.1071</v>
      </c>
      <c r="G181" s="558">
        <f t="shared" si="22"/>
        <v>0.49090457251500325</v>
      </c>
      <c r="H181" s="394">
        <f t="shared" si="20"/>
        <v>0</v>
      </c>
      <c r="N181" s="625"/>
    </row>
    <row r="182" spans="1:14">
      <c r="A182" s="1072">
        <f t="shared" si="16"/>
        <v>168</v>
      </c>
      <c r="B182" s="685">
        <v>39400</v>
      </c>
      <c r="C182" s="115" t="s">
        <v>1055</v>
      </c>
      <c r="D182" s="448">
        <f>[3]Reserve!$BK16</f>
        <v>136810.54097884436</v>
      </c>
      <c r="E182" s="623">
        <v>1</v>
      </c>
      <c r="F182" s="625">
        <f t="shared" si="21"/>
        <v>0.1071</v>
      </c>
      <c r="G182" s="558">
        <f t="shared" si="22"/>
        <v>0.49090457251500325</v>
      </c>
      <c r="H182" s="394">
        <f t="shared" si="20"/>
        <v>7192.9345464334301</v>
      </c>
      <c r="N182" s="625"/>
    </row>
    <row r="183" spans="1:14">
      <c r="A183" s="1072">
        <f t="shared" si="16"/>
        <v>169</v>
      </c>
      <c r="B183" s="685">
        <v>39500</v>
      </c>
      <c r="C183" s="4" t="s">
        <v>1219</v>
      </c>
      <c r="D183" s="448">
        <f>[3]Reserve!$BK17</f>
        <v>2375.0230350000002</v>
      </c>
      <c r="E183" s="623">
        <v>1</v>
      </c>
      <c r="F183" s="558">
        <f t="shared" si="21"/>
        <v>0.1071</v>
      </c>
      <c r="G183" s="558">
        <f t="shared" si="22"/>
        <v>0.49090457251500325</v>
      </c>
      <c r="H183" s="394">
        <f t="shared" si="20"/>
        <v>124.86892541173678</v>
      </c>
      <c r="N183" s="625"/>
    </row>
    <row r="184" spans="1:14">
      <c r="A184" s="1072">
        <f t="shared" si="16"/>
        <v>170</v>
      </c>
      <c r="B184" s="468">
        <v>39700</v>
      </c>
      <c r="C184" s="4" t="s">
        <v>454</v>
      </c>
      <c r="D184" s="448">
        <f>[3]Reserve!$BK18</f>
        <v>149150.99773317954</v>
      </c>
      <c r="E184" s="623">
        <v>1</v>
      </c>
      <c r="F184" s="558">
        <f t="shared" si="21"/>
        <v>0.1071</v>
      </c>
      <c r="G184" s="558">
        <f t="shared" si="22"/>
        <v>0.49090457251500325</v>
      </c>
      <c r="H184" s="394">
        <f t="shared" si="20"/>
        <v>7841.7449163942601</v>
      </c>
      <c r="N184" s="625"/>
    </row>
    <row r="185" spans="1:14">
      <c r="A185" s="1072">
        <f t="shared" si="16"/>
        <v>171</v>
      </c>
      <c r="B185" s="468">
        <v>39800</v>
      </c>
      <c r="C185" s="4" t="s">
        <v>666</v>
      </c>
      <c r="D185" s="448">
        <f>[3]Reserve!$BK19</f>
        <v>29183.424545880585</v>
      </c>
      <c r="E185" s="623">
        <v>1</v>
      </c>
      <c r="F185" s="558">
        <f t="shared" si="21"/>
        <v>0.1071</v>
      </c>
      <c r="G185" s="558">
        <f t="shared" si="22"/>
        <v>0.49090457251500325</v>
      </c>
      <c r="H185" s="394">
        <f t="shared" si="20"/>
        <v>1534.3442186355935</v>
      </c>
      <c r="N185" s="625"/>
    </row>
    <row r="186" spans="1:14">
      <c r="A186" s="1072">
        <f t="shared" si="16"/>
        <v>172</v>
      </c>
      <c r="B186" s="468">
        <v>39900</v>
      </c>
      <c r="C186" s="4" t="s">
        <v>1173</v>
      </c>
      <c r="D186" s="448">
        <f>[3]Reserve!$BK20</f>
        <v>21954.290980000005</v>
      </c>
      <c r="E186" s="623">
        <v>1</v>
      </c>
      <c r="F186" s="558">
        <f t="shared" si="21"/>
        <v>0.1071</v>
      </c>
      <c r="G186" s="558">
        <f t="shared" si="22"/>
        <v>0.49090457251500325</v>
      </c>
      <c r="H186" s="394">
        <f t="shared" si="20"/>
        <v>1154.2661618223783</v>
      </c>
      <c r="N186" s="625"/>
    </row>
    <row r="187" spans="1:14">
      <c r="A187" s="1072">
        <f t="shared" si="16"/>
        <v>173</v>
      </c>
      <c r="B187" s="468">
        <v>39901</v>
      </c>
      <c r="C187" s="4" t="s">
        <v>489</v>
      </c>
      <c r="D187" s="448">
        <f>[3]Reserve!$BK21</f>
        <v>2982346.6321798353</v>
      </c>
      <c r="E187" s="623">
        <v>1</v>
      </c>
      <c r="F187" s="558">
        <f t="shared" si="21"/>
        <v>0.1071</v>
      </c>
      <c r="G187" s="558">
        <f t="shared" si="22"/>
        <v>0.49090457251500325</v>
      </c>
      <c r="H187" s="394">
        <f t="shared" si="20"/>
        <v>156799.49780596897</v>
      </c>
      <c r="N187" s="625"/>
    </row>
    <row r="188" spans="1:14">
      <c r="A188" s="1072">
        <f t="shared" si="16"/>
        <v>174</v>
      </c>
      <c r="B188" s="468">
        <v>39902</v>
      </c>
      <c r="C188" s="4" t="s">
        <v>979</v>
      </c>
      <c r="D188" s="448">
        <f>[3]Reserve!$BK22</f>
        <v>1726500.5243235035</v>
      </c>
      <c r="E188" s="623">
        <v>1</v>
      </c>
      <c r="F188" s="558">
        <f t="shared" si="21"/>
        <v>0.1071</v>
      </c>
      <c r="G188" s="558">
        <f t="shared" si="22"/>
        <v>0.49090457251500325</v>
      </c>
      <c r="H188" s="394">
        <f t="shared" si="20"/>
        <v>90772.283897059548</v>
      </c>
      <c r="N188" s="625"/>
    </row>
    <row r="189" spans="1:14">
      <c r="A189" s="1072">
        <f t="shared" si="16"/>
        <v>175</v>
      </c>
      <c r="B189" s="468">
        <v>39903</v>
      </c>
      <c r="C189" s="4" t="s">
        <v>1022</v>
      </c>
      <c r="D189" s="448">
        <f>[3]Reserve!$BK23</f>
        <v>237759.58133916042</v>
      </c>
      <c r="E189" s="623">
        <v>1</v>
      </c>
      <c r="F189" s="558">
        <f t="shared" si="21"/>
        <v>0.1071</v>
      </c>
      <c r="G189" s="558">
        <f t="shared" si="22"/>
        <v>0.49090457251500325</v>
      </c>
      <c r="H189" s="394">
        <f t="shared" si="20"/>
        <v>12500.41914989906</v>
      </c>
      <c r="N189" s="625"/>
    </row>
    <row r="190" spans="1:14">
      <c r="A190" s="1072">
        <f t="shared" si="16"/>
        <v>176</v>
      </c>
      <c r="B190" s="468">
        <v>39904</v>
      </c>
      <c r="C190" s="4" t="s">
        <v>1198</v>
      </c>
      <c r="D190" s="448">
        <f>[3]Reserve!$BK24</f>
        <v>0</v>
      </c>
      <c r="E190" s="623">
        <v>1</v>
      </c>
      <c r="F190" s="558">
        <f t="shared" si="21"/>
        <v>0.1071</v>
      </c>
      <c r="G190" s="558">
        <f t="shared" si="22"/>
        <v>0.49090457251500325</v>
      </c>
      <c r="H190" s="394">
        <f t="shared" si="20"/>
        <v>0</v>
      </c>
      <c r="N190" s="625"/>
    </row>
    <row r="191" spans="1:14">
      <c r="A191" s="1072">
        <f t="shared" si="16"/>
        <v>177</v>
      </c>
      <c r="B191" s="468">
        <v>39905</v>
      </c>
      <c r="C191" s="4" t="s">
        <v>512</v>
      </c>
      <c r="D191" s="448">
        <f>[3]Reserve!$BK25</f>
        <v>0</v>
      </c>
      <c r="E191" s="623">
        <v>1</v>
      </c>
      <c r="F191" s="558">
        <f t="shared" si="21"/>
        <v>0.1071</v>
      </c>
      <c r="G191" s="558">
        <f t="shared" si="22"/>
        <v>0.49090457251500325</v>
      </c>
      <c r="H191" s="394">
        <f t="shared" si="20"/>
        <v>0</v>
      </c>
      <c r="N191" s="625"/>
    </row>
    <row r="192" spans="1:14">
      <c r="A192" s="1072">
        <f t="shared" si="16"/>
        <v>178</v>
      </c>
      <c r="B192" s="468">
        <v>39906</v>
      </c>
      <c r="C192" s="4" t="s">
        <v>465</v>
      </c>
      <c r="D192" s="448">
        <f>[3]Reserve!$BK26</f>
        <v>241152.87825257378</v>
      </c>
      <c r="E192" s="623">
        <v>1</v>
      </c>
      <c r="F192" s="558">
        <f t="shared" si="21"/>
        <v>0.1071</v>
      </c>
      <c r="G192" s="558">
        <f t="shared" si="22"/>
        <v>0.49090457251500325</v>
      </c>
      <c r="H192" s="394">
        <f t="shared" si="20"/>
        <v>12678.824720260567</v>
      </c>
      <c r="N192" s="625"/>
    </row>
    <row r="193" spans="1:14">
      <c r="A193" s="1072">
        <f t="shared" si="16"/>
        <v>179</v>
      </c>
      <c r="B193" s="468">
        <v>39907</v>
      </c>
      <c r="C193" s="4" t="s">
        <v>520</v>
      </c>
      <c r="D193" s="448">
        <f>[3]Reserve!$BK27</f>
        <v>45493.093288807519</v>
      </c>
      <c r="E193" s="623">
        <v>1</v>
      </c>
      <c r="F193" s="558">
        <f t="shared" si="21"/>
        <v>0.1071</v>
      </c>
      <c r="G193" s="558">
        <f t="shared" si="22"/>
        <v>0.49090457251500325</v>
      </c>
      <c r="H193" s="394">
        <f t="shared" si="20"/>
        <v>2391.8394006773451</v>
      </c>
      <c r="N193" s="625"/>
    </row>
    <row r="194" spans="1:14">
      <c r="A194" s="1072">
        <f t="shared" si="16"/>
        <v>180</v>
      </c>
      <c r="B194" s="468">
        <v>39908</v>
      </c>
      <c r="C194" s="4" t="s">
        <v>184</v>
      </c>
      <c r="D194" s="448">
        <f>[3]Reserve!$BK28</f>
        <v>8016943.061270942</v>
      </c>
      <c r="E194" s="623">
        <v>1</v>
      </c>
      <c r="F194" s="558">
        <f t="shared" si="21"/>
        <v>0.1071</v>
      </c>
      <c r="G194" s="558">
        <f t="shared" si="22"/>
        <v>0.49090457251500325</v>
      </c>
      <c r="H194" s="394">
        <f t="shared" si="20"/>
        <v>421497.83408226271</v>
      </c>
      <c r="N194" s="625"/>
    </row>
    <row r="195" spans="1:14" s="1058" customFormat="1">
      <c r="A195" s="1072">
        <f t="shared" si="16"/>
        <v>181</v>
      </c>
      <c r="B195" s="1061">
        <v>39909</v>
      </c>
      <c r="C195" s="4" t="s">
        <v>352</v>
      </c>
      <c r="D195" s="448">
        <f>[3]Reserve!$BK29</f>
        <v>0</v>
      </c>
      <c r="E195" s="623">
        <v>1</v>
      </c>
      <c r="F195" s="558">
        <f t="shared" si="21"/>
        <v>0.1071</v>
      </c>
      <c r="G195" s="558">
        <f t="shared" si="22"/>
        <v>0.49090457251500325</v>
      </c>
      <c r="H195" s="394">
        <f t="shared" ref="H195:H196" si="23">D195*E195*F195*G195</f>
        <v>0</v>
      </c>
      <c r="N195" s="625"/>
    </row>
    <row r="196" spans="1:14">
      <c r="A196" s="1072">
        <f t="shared" si="16"/>
        <v>182</v>
      </c>
      <c r="B196" s="1061">
        <v>39924</v>
      </c>
      <c r="C196" s="4" t="s">
        <v>1456</v>
      </c>
      <c r="D196" s="448">
        <f>[3]Reserve!$BK30</f>
        <v>0</v>
      </c>
      <c r="E196" s="623">
        <v>1</v>
      </c>
      <c r="F196" s="558">
        <f t="shared" si="21"/>
        <v>0.1071</v>
      </c>
      <c r="G196" s="558">
        <f t="shared" si="22"/>
        <v>0.49090457251500325</v>
      </c>
      <c r="H196" s="394">
        <f t="shared" si="23"/>
        <v>0</v>
      </c>
      <c r="I196" s="1058"/>
      <c r="J196" s="1058"/>
      <c r="K196" s="1058"/>
      <c r="L196" s="1058"/>
      <c r="M196" s="1058"/>
      <c r="N196" s="625"/>
    </row>
    <row r="197" spans="1:14">
      <c r="A197" s="1072">
        <f t="shared" si="16"/>
        <v>183</v>
      </c>
      <c r="B197" s="1050"/>
      <c r="C197" s="1114"/>
      <c r="D197" s="1151"/>
      <c r="E197" s="499"/>
      <c r="F197" s="557"/>
      <c r="G197" s="557"/>
      <c r="H197" s="395"/>
    </row>
    <row r="198" spans="1:14">
      <c r="A198" s="1072">
        <f t="shared" si="16"/>
        <v>184</v>
      </c>
      <c r="B198" s="510"/>
      <c r="C198" s="4"/>
      <c r="D198" s="106"/>
      <c r="E198" s="1140"/>
    </row>
    <row r="199" spans="1:14" ht="15.75" thickBot="1">
      <c r="A199" s="1072">
        <f t="shared" si="16"/>
        <v>185</v>
      </c>
      <c r="B199" s="510"/>
      <c r="C199" s="4" t="s">
        <v>1376</v>
      </c>
      <c r="D199" s="428">
        <f>SUM(D173:D197)</f>
        <v>14699578.748068728</v>
      </c>
      <c r="E199" s="1150"/>
      <c r="H199" s="425">
        <f>SUM(H173:H197)</f>
        <v>762460.47551118943</v>
      </c>
      <c r="K199" s="1058"/>
      <c r="M199" s="771"/>
      <c r="N199" s="771"/>
    </row>
    <row r="200" spans="1:14" ht="15.75" thickTop="1">
      <c r="A200" s="1072">
        <f t="shared" si="16"/>
        <v>186</v>
      </c>
      <c r="B200" s="406"/>
      <c r="D200" s="581"/>
      <c r="E200" s="1140"/>
    </row>
    <row r="201" spans="1:14" ht="15.75">
      <c r="A201" s="1072">
        <f t="shared" si="16"/>
        <v>187</v>
      </c>
      <c r="B201" s="419" t="s">
        <v>9</v>
      </c>
      <c r="D201" s="581"/>
      <c r="E201" s="1131"/>
    </row>
    <row r="202" spans="1:14">
      <c r="A202" s="1072">
        <f t="shared" si="16"/>
        <v>188</v>
      </c>
      <c r="B202" s="406"/>
      <c r="D202" s="581"/>
      <c r="E202" s="1131"/>
      <c r="K202" s="771"/>
    </row>
    <row r="203" spans="1:14">
      <c r="A203" s="1072">
        <f t="shared" si="16"/>
        <v>189</v>
      </c>
      <c r="B203" s="510"/>
      <c r="C203" s="17" t="s">
        <v>309</v>
      </c>
      <c r="D203" s="581"/>
      <c r="E203" s="1131"/>
    </row>
    <row r="204" spans="1:14">
      <c r="A204" s="1072">
        <f t="shared" si="16"/>
        <v>190</v>
      </c>
      <c r="B204" s="685">
        <v>38900</v>
      </c>
      <c r="C204" s="115" t="s">
        <v>300</v>
      </c>
      <c r="D204" s="448">
        <f>[3]Reserve!$BK36</f>
        <v>0</v>
      </c>
      <c r="E204" s="623">
        <v>1</v>
      </c>
      <c r="F204" s="625">
        <f>Allocation!$C$15</f>
        <v>0.1086</v>
      </c>
      <c r="G204" s="625">
        <f>Allocation!$D$15</f>
        <v>0.52599015110063552</v>
      </c>
      <c r="H204" s="385">
        <f>D204*E204*F204*G204</f>
        <v>0</v>
      </c>
      <c r="J204" s="78"/>
      <c r="N204" s="625"/>
    </row>
    <row r="205" spans="1:14">
      <c r="A205" s="1072">
        <f t="shared" si="16"/>
        <v>191</v>
      </c>
      <c r="B205" s="685">
        <v>38910</v>
      </c>
      <c r="C205" s="115" t="s">
        <v>1220</v>
      </c>
      <c r="D205" s="448">
        <f>[3]Reserve!$BK37</f>
        <v>0</v>
      </c>
      <c r="E205" s="817">
        <v>1</v>
      </c>
      <c r="F205" s="625">
        <v>1</v>
      </c>
      <c r="G205" s="625">
        <f>Allocation!$E$21</f>
        <v>1.083947E-2</v>
      </c>
      <c r="H205" s="394">
        <f t="shared" ref="H205:H223" si="24">D205*E205*F205*G205</f>
        <v>0</v>
      </c>
      <c r="N205" s="625"/>
    </row>
    <row r="206" spans="1:14">
      <c r="A206" s="1072">
        <f t="shared" si="16"/>
        <v>192</v>
      </c>
      <c r="B206" s="685">
        <v>39000</v>
      </c>
      <c r="C206" s="115" t="s">
        <v>874</v>
      </c>
      <c r="D206" s="448">
        <f>[3]Reserve!$BK38</f>
        <v>381920.17698739399</v>
      </c>
      <c r="E206" s="817">
        <v>1</v>
      </c>
      <c r="F206" s="625">
        <f t="shared" ref="F206:F220" si="25">$F$204</f>
        <v>0.1086</v>
      </c>
      <c r="G206" s="558">
        <f t="shared" ref="G206:G220" si="26">$G$204</f>
        <v>0.52599015110063552</v>
      </c>
      <c r="H206" s="394">
        <f t="shared" si="24"/>
        <v>21816.246923975119</v>
      </c>
      <c r="N206" s="625"/>
    </row>
    <row r="207" spans="1:14">
      <c r="A207" s="1072">
        <f t="shared" si="16"/>
        <v>193</v>
      </c>
      <c r="B207" s="685">
        <v>39009</v>
      </c>
      <c r="C207" s="115" t="s">
        <v>1056</v>
      </c>
      <c r="D207" s="448">
        <f>[3]Reserve!$BK39</f>
        <v>139699.11572500001</v>
      </c>
      <c r="E207" s="817">
        <v>1</v>
      </c>
      <c r="F207" s="625">
        <f t="shared" si="25"/>
        <v>0.1086</v>
      </c>
      <c r="G207" s="558">
        <f t="shared" si="26"/>
        <v>0.52599015110063552</v>
      </c>
      <c r="H207" s="394">
        <f t="shared" si="24"/>
        <v>7979.9669861856264</v>
      </c>
      <c r="N207" s="625"/>
    </row>
    <row r="208" spans="1:14">
      <c r="A208" s="1072">
        <f t="shared" si="16"/>
        <v>194</v>
      </c>
      <c r="B208" s="685">
        <v>39010</v>
      </c>
      <c r="C208" s="115" t="s">
        <v>1221</v>
      </c>
      <c r="D208" s="448">
        <f>[3]Reserve!$BK40</f>
        <v>313636.18197099998</v>
      </c>
      <c r="E208" s="817">
        <v>1</v>
      </c>
      <c r="F208" s="625">
        <v>1</v>
      </c>
      <c r="G208" s="625">
        <f>$G$205</f>
        <v>1.083947E-2</v>
      </c>
      <c r="H208" s="394">
        <f t="shared" si="24"/>
        <v>3399.6499853891951</v>
      </c>
      <c r="N208" s="625"/>
    </row>
    <row r="209" spans="1:14">
      <c r="A209" s="1072">
        <f t="shared" ref="A209:A228" si="27">A208+1</f>
        <v>195</v>
      </c>
      <c r="B209" s="685">
        <v>39100</v>
      </c>
      <c r="C209" s="115" t="s">
        <v>796</v>
      </c>
      <c r="D209" s="448">
        <f>[3]Reserve!$BK41</f>
        <v>90955.821046138502</v>
      </c>
      <c r="E209" s="817">
        <v>1</v>
      </c>
      <c r="F209" s="625">
        <f t="shared" si="25"/>
        <v>0.1086</v>
      </c>
      <c r="G209" s="558">
        <f t="shared" si="26"/>
        <v>0.52599015110063552</v>
      </c>
      <c r="H209" s="394">
        <f t="shared" si="24"/>
        <v>5195.6266536317262</v>
      </c>
      <c r="N209" s="625"/>
    </row>
    <row r="210" spans="1:14">
      <c r="A210" s="1072">
        <f t="shared" si="27"/>
        <v>196</v>
      </c>
      <c r="B210" s="685">
        <v>39103</v>
      </c>
      <c r="C210" s="115" t="s">
        <v>1367</v>
      </c>
      <c r="D210" s="448">
        <f>[3]Reserve!$BK42</f>
        <v>0</v>
      </c>
      <c r="E210" s="817">
        <v>1</v>
      </c>
      <c r="F210" s="625">
        <f t="shared" si="25"/>
        <v>0.1086</v>
      </c>
      <c r="G210" s="558">
        <f t="shared" si="26"/>
        <v>0.52599015110063552</v>
      </c>
      <c r="H210" s="394">
        <f t="shared" ref="H210" si="28">D210*E210*F210*G210</f>
        <v>0</v>
      </c>
      <c r="N210" s="625"/>
    </row>
    <row r="211" spans="1:14">
      <c r="A211" s="1072">
        <f t="shared" si="27"/>
        <v>197</v>
      </c>
      <c r="B211" s="468">
        <v>39700</v>
      </c>
      <c r="C211" s="115" t="s">
        <v>454</v>
      </c>
      <c r="D211" s="448">
        <f>[3]Reserve!$BK43</f>
        <v>114822.91138500003</v>
      </c>
      <c r="E211" s="817">
        <v>1</v>
      </c>
      <c r="F211" s="625">
        <f t="shared" si="25"/>
        <v>0.1086</v>
      </c>
      <c r="G211" s="558">
        <f t="shared" si="26"/>
        <v>0.52599015110063552</v>
      </c>
      <c r="H211" s="394">
        <f t="shared" si="24"/>
        <v>6558.97524730032</v>
      </c>
      <c r="N211" s="625"/>
    </row>
    <row r="212" spans="1:14">
      <c r="A212" s="1072">
        <f t="shared" si="27"/>
        <v>198</v>
      </c>
      <c r="B212" s="468">
        <v>39710</v>
      </c>
      <c r="C212" s="115" t="s">
        <v>1222</v>
      </c>
      <c r="D212" s="448">
        <f>[3]Reserve!$BK44</f>
        <v>15889.841370000004</v>
      </c>
      <c r="E212" s="817">
        <v>1</v>
      </c>
      <c r="F212" s="625">
        <v>1</v>
      </c>
      <c r="G212" s="625">
        <f>$G$205</f>
        <v>1.083947E-2</v>
      </c>
      <c r="H212" s="394">
        <f t="shared" si="24"/>
        <v>172.23745883487393</v>
      </c>
      <c r="N212" s="625"/>
    </row>
    <row r="213" spans="1:14">
      <c r="A213" s="1072">
        <f t="shared" si="27"/>
        <v>199</v>
      </c>
      <c r="B213" s="468">
        <v>39800</v>
      </c>
      <c r="C213" s="115" t="s">
        <v>666</v>
      </c>
      <c r="D213" s="448">
        <f>[3]Reserve!$BK45</f>
        <v>3255.5560651450769</v>
      </c>
      <c r="E213" s="817">
        <v>1</v>
      </c>
      <c r="F213" s="625">
        <f t="shared" si="25"/>
        <v>0.1086</v>
      </c>
      <c r="G213" s="558">
        <f t="shared" si="26"/>
        <v>0.52599015110063552</v>
      </c>
      <c r="H213" s="394">
        <f t="shared" si="24"/>
        <v>185.96560033117629</v>
      </c>
      <c r="N213" s="625"/>
    </row>
    <row r="214" spans="1:14">
      <c r="A214" s="1072">
        <f t="shared" si="27"/>
        <v>200</v>
      </c>
      <c r="B214" s="468">
        <v>39900</v>
      </c>
      <c r="C214" s="115" t="s">
        <v>1173</v>
      </c>
      <c r="D214" s="448">
        <f>[3]Reserve!$BK46</f>
        <v>82169.139675999992</v>
      </c>
      <c r="E214" s="817">
        <v>1</v>
      </c>
      <c r="F214" s="625">
        <f t="shared" si="25"/>
        <v>0.1086</v>
      </c>
      <c r="G214" s="558">
        <f t="shared" si="26"/>
        <v>0.52599015110063552</v>
      </c>
      <c r="H214" s="394">
        <f t="shared" si="24"/>
        <v>4693.7091798671472</v>
      </c>
      <c r="N214" s="625"/>
    </row>
    <row r="215" spans="1:14">
      <c r="A215" s="1072">
        <f t="shared" si="27"/>
        <v>201</v>
      </c>
      <c r="B215" s="468">
        <v>39901</v>
      </c>
      <c r="C215" s="115" t="s">
        <v>489</v>
      </c>
      <c r="D215" s="448">
        <f>[3]Reserve!$BK47</f>
        <v>778780.73391895415</v>
      </c>
      <c r="E215" s="817">
        <v>1</v>
      </c>
      <c r="F215" s="625">
        <f t="shared" si="25"/>
        <v>0.1086</v>
      </c>
      <c r="G215" s="558">
        <f t="shared" si="26"/>
        <v>0.52599015110063552</v>
      </c>
      <c r="H215" s="394">
        <f t="shared" si="24"/>
        <v>44485.92615564078</v>
      </c>
      <c r="N215" s="625"/>
    </row>
    <row r="216" spans="1:14">
      <c r="A216" s="1072">
        <f t="shared" si="27"/>
        <v>202</v>
      </c>
      <c r="B216" s="468">
        <v>39902</v>
      </c>
      <c r="C216" s="115" t="s">
        <v>979</v>
      </c>
      <c r="D216" s="448">
        <f>[3]Reserve!$BK48</f>
        <v>164032.53582691756</v>
      </c>
      <c r="E216" s="817">
        <v>1</v>
      </c>
      <c r="F216" s="625">
        <f t="shared" si="25"/>
        <v>0.1086</v>
      </c>
      <c r="G216" s="558">
        <f t="shared" si="26"/>
        <v>0.52599015110063552</v>
      </c>
      <c r="H216" s="394">
        <f t="shared" si="24"/>
        <v>9369.9535159252573</v>
      </c>
      <c r="N216" s="625"/>
    </row>
    <row r="217" spans="1:14">
      <c r="A217" s="1072">
        <f t="shared" si="27"/>
        <v>203</v>
      </c>
      <c r="B217" s="468">
        <v>39903</v>
      </c>
      <c r="C217" s="115" t="s">
        <v>1022</v>
      </c>
      <c r="D217" s="448">
        <f>[3]Reserve!$BK49</f>
        <v>44341.577507766975</v>
      </c>
      <c r="E217" s="817">
        <v>1</v>
      </c>
      <c r="F217" s="625">
        <f t="shared" si="25"/>
        <v>0.1086</v>
      </c>
      <c r="G217" s="558">
        <f t="shared" si="26"/>
        <v>0.52599015110063552</v>
      </c>
      <c r="H217" s="394">
        <f t="shared" si="24"/>
        <v>2532.9031095939067</v>
      </c>
      <c r="N217" s="625"/>
    </row>
    <row r="218" spans="1:14">
      <c r="A218" s="1072">
        <f t="shared" si="27"/>
        <v>204</v>
      </c>
      <c r="B218" s="468">
        <v>39906</v>
      </c>
      <c r="C218" s="115" t="s">
        <v>465</v>
      </c>
      <c r="D218" s="448">
        <f>[3]Reserve!$BK50</f>
        <v>106436.37652092979</v>
      </c>
      <c r="E218" s="817">
        <v>1</v>
      </c>
      <c r="F218" s="625">
        <f t="shared" si="25"/>
        <v>0.1086</v>
      </c>
      <c r="G218" s="558">
        <f t="shared" si="26"/>
        <v>0.52599015110063552</v>
      </c>
      <c r="H218" s="394">
        <f t="shared" si="24"/>
        <v>6079.9151544968918</v>
      </c>
      <c r="N218" s="625"/>
    </row>
    <row r="219" spans="1:14">
      <c r="A219" s="1072">
        <f t="shared" si="27"/>
        <v>205</v>
      </c>
      <c r="B219" s="468">
        <v>39907</v>
      </c>
      <c r="C219" s="115" t="s">
        <v>520</v>
      </c>
      <c r="D219" s="448">
        <f>[3]Reserve!$BK51</f>
        <v>12516.220742999996</v>
      </c>
      <c r="E219" s="817">
        <v>1</v>
      </c>
      <c r="F219" s="625">
        <f t="shared" si="25"/>
        <v>0.1086</v>
      </c>
      <c r="G219" s="558">
        <f t="shared" si="26"/>
        <v>0.52599015110063552</v>
      </c>
      <c r="H219" s="394">
        <f t="shared" si="24"/>
        <v>714.95820000439517</v>
      </c>
      <c r="N219" s="625"/>
    </row>
    <row r="220" spans="1:14">
      <c r="A220" s="1072">
        <f t="shared" si="27"/>
        <v>206</v>
      </c>
      <c r="B220" s="468">
        <v>39908</v>
      </c>
      <c r="C220" s="115" t="s">
        <v>184</v>
      </c>
      <c r="D220" s="448">
        <f>[3]Reserve!$BK52</f>
        <v>7350570.3991458537</v>
      </c>
      <c r="E220" s="817">
        <v>1</v>
      </c>
      <c r="F220" s="625">
        <f t="shared" si="25"/>
        <v>0.1086</v>
      </c>
      <c r="G220" s="558">
        <f t="shared" si="26"/>
        <v>0.52599015110063552</v>
      </c>
      <c r="H220" s="394">
        <f t="shared" si="24"/>
        <v>419883.18115259288</v>
      </c>
      <c r="N220" s="625"/>
    </row>
    <row r="221" spans="1:14">
      <c r="A221" s="1072">
        <f t="shared" si="27"/>
        <v>207</v>
      </c>
      <c r="B221" s="468">
        <v>39910</v>
      </c>
      <c r="C221" s="115" t="s">
        <v>1223</v>
      </c>
      <c r="D221" s="448">
        <f>[3]Reserve!$BK53</f>
        <v>12014.215276000003</v>
      </c>
      <c r="E221" s="817">
        <v>1</v>
      </c>
      <c r="F221" s="625">
        <v>1</v>
      </c>
      <c r="G221" s="625">
        <f>$G$205</f>
        <v>1.083947E-2</v>
      </c>
      <c r="H221" s="394">
        <f t="shared" si="24"/>
        <v>130.22772605774375</v>
      </c>
      <c r="N221" s="625"/>
    </row>
    <row r="222" spans="1:14">
      <c r="A222" s="1072">
        <f t="shared" si="27"/>
        <v>208</v>
      </c>
      <c r="B222" s="468">
        <v>39916</v>
      </c>
      <c r="C222" s="115" t="s">
        <v>1224</v>
      </c>
      <c r="D222" s="448">
        <f>[3]Reserve!$BK54</f>
        <v>20352.216508999998</v>
      </c>
      <c r="E222" s="817">
        <v>1</v>
      </c>
      <c r="F222" s="625">
        <v>1</v>
      </c>
      <c r="G222" s="625">
        <f>$G$205</f>
        <v>1.083947E-2</v>
      </c>
      <c r="H222" s="394">
        <f t="shared" si="24"/>
        <v>220.60724028281021</v>
      </c>
      <c r="N222" s="625"/>
    </row>
    <row r="223" spans="1:14">
      <c r="A223" s="1072">
        <f t="shared" si="27"/>
        <v>209</v>
      </c>
      <c r="B223" s="468">
        <v>39917</v>
      </c>
      <c r="C223" s="115" t="s">
        <v>1225</v>
      </c>
      <c r="D223" s="448">
        <f>[3]Reserve!$BK55</f>
        <v>6002.8391279999996</v>
      </c>
      <c r="E223" s="817">
        <v>1</v>
      </c>
      <c r="F223" s="625">
        <v>1</v>
      </c>
      <c r="G223" s="625">
        <f>$G$205</f>
        <v>1.083947E-2</v>
      </c>
      <c r="H223" s="394">
        <f t="shared" si="24"/>
        <v>65.067594642782154</v>
      </c>
      <c r="N223" s="625"/>
    </row>
    <row r="224" spans="1:14">
      <c r="A224" s="1072">
        <f t="shared" si="27"/>
        <v>210</v>
      </c>
      <c r="B224" s="468"/>
      <c r="C224" s="4"/>
      <c r="D224" s="1144"/>
      <c r="E224" s="1152"/>
      <c r="F224" s="558"/>
      <c r="G224" s="558"/>
      <c r="H224" s="395"/>
    </row>
    <row r="225" spans="1:12">
      <c r="A225" s="1072">
        <f t="shared" si="27"/>
        <v>211</v>
      </c>
      <c r="B225" s="1"/>
      <c r="C225" s="4"/>
      <c r="D225" s="581"/>
      <c r="E225" s="1140"/>
    </row>
    <row r="226" spans="1:12" ht="15.75" thickBot="1">
      <c r="A226" s="1072">
        <f t="shared" si="27"/>
        <v>212</v>
      </c>
      <c r="B226" s="1"/>
      <c r="C226" s="4" t="s">
        <v>1377</v>
      </c>
      <c r="D226" s="626">
        <f>SUM(D204:D225)</f>
        <v>9637395.8588020988</v>
      </c>
      <c r="E226" s="1150"/>
      <c r="H226" s="429">
        <f>SUM(H204:H225)</f>
        <v>533485.11788475257</v>
      </c>
      <c r="K226" s="1058"/>
      <c r="L226" s="106"/>
    </row>
    <row r="227" spans="1:12" ht="15.75" thickTop="1">
      <c r="A227" s="1072">
        <f t="shared" si="27"/>
        <v>213</v>
      </c>
      <c r="D227" s="106"/>
      <c r="E227" s="1140"/>
    </row>
    <row r="228" spans="1:12" ht="30.75" thickBot="1">
      <c r="A228" s="1072">
        <f t="shared" si="27"/>
        <v>214</v>
      </c>
      <c r="C228" s="512" t="s">
        <v>1166</v>
      </c>
      <c r="D228" s="626">
        <f>D226+D199+D168+D110</f>
        <v>42630484.378109336</v>
      </c>
      <c r="E228" s="1150"/>
      <c r="H228" s="429">
        <f>H226+H199+H168+H110</f>
        <v>19396019.526407063</v>
      </c>
    </row>
    <row r="229" spans="1:12" ht="15.75" thickTop="1"/>
    <row r="230" spans="1:12">
      <c r="C230" t="s">
        <v>701</v>
      </c>
      <c r="D230" s="78"/>
    </row>
    <row r="231" spans="1:12">
      <c r="C231" t="s">
        <v>1398</v>
      </c>
    </row>
  </sheetData>
  <mergeCells count="4">
    <mergeCell ref="A1:I1"/>
    <mergeCell ref="A2:I2"/>
    <mergeCell ref="A3:I3"/>
    <mergeCell ref="A4:I4"/>
  </mergeCells>
  <phoneticPr fontId="24" type="noConversion"/>
  <printOptions horizontalCentered="1"/>
  <pageMargins left="0.75" right="0.49" top="0.78" bottom="1" header="0.5" footer="0.33"/>
  <pageSetup scale="61" fitToHeight="15" orientation="portrait" r:id="rId1"/>
  <headerFooter alignWithMargins="0">
    <oddFooter>&amp;RSchedule &amp;A
Page &amp;P of &amp;N</oddFooter>
  </headerFooter>
  <rowBreaks count="3" manualBreakCount="3">
    <brk id="60" max="7" man="1"/>
    <brk id="111" max="7" man="1"/>
    <brk id="16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activeCell="F6" sqref="F6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7" s="1" customFormat="1">
      <c r="A1" s="1248" t="str">
        <f>'Table of Contents'!A1:C1</f>
        <v>Atmos Energy Corporation, Kentucky/Mid-States Division</v>
      </c>
      <c r="B1" s="1248"/>
      <c r="C1" s="1248"/>
      <c r="D1" s="1248"/>
      <c r="E1" s="1248"/>
    </row>
    <row r="2" spans="1:7" s="1" customFormat="1">
      <c r="A2" s="1248" t="str">
        <f>'Table of Contents'!A2:C2</f>
        <v>Kentucky Jurisdiction Case No. 2015-00343</v>
      </c>
      <c r="B2" s="1248"/>
      <c r="C2" s="1248"/>
      <c r="D2" s="1248"/>
      <c r="E2" s="1248"/>
    </row>
    <row r="3" spans="1:7" s="1" customFormat="1">
      <c r="A3" s="1248" t="s">
        <v>445</v>
      </c>
      <c r="B3" s="1248"/>
      <c r="C3" s="1248"/>
      <c r="D3" s="1248"/>
      <c r="E3" s="1248"/>
    </row>
    <row r="4" spans="1:7" s="1" customFormat="1">
      <c r="A4" s="1248" t="str">
        <f>'B.1 B'!A4</f>
        <v>as of February 29, 2016</v>
      </c>
      <c r="B4" s="1248"/>
      <c r="C4" s="1248"/>
      <c r="D4" s="1248"/>
      <c r="E4" s="1248"/>
    </row>
    <row r="5" spans="1:7" s="1" customFormat="1">
      <c r="A5" s="107"/>
    </row>
    <row r="6" spans="1:7" s="1" customFormat="1">
      <c r="A6" s="4" t="str">
        <f>'B.1 B'!A6</f>
        <v>Data:__X___Base Period______Forecasted Period</v>
      </c>
      <c r="E6" s="1" t="s">
        <v>1515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718</v>
      </c>
    </row>
    <row r="8" spans="1:7" s="1" customFormat="1">
      <c r="A8" s="73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716</v>
      </c>
    </row>
    <row r="10" spans="1:7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7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7" s="1" customFormat="1">
      <c r="E12" s="2"/>
    </row>
    <row r="14" spans="1:7" s="1" customFormat="1">
      <c r="A14" s="2" t="s">
        <v>1115</v>
      </c>
      <c r="B14" s="115" t="s">
        <v>801</v>
      </c>
      <c r="C14" s="115" t="s">
        <v>33</v>
      </c>
      <c r="D14" s="160" t="s">
        <v>86</v>
      </c>
      <c r="E14" s="386">
        <f>'B.4.2 B'!H32</f>
        <v>3330930.5846503121</v>
      </c>
      <c r="F14" s="107"/>
      <c r="G14" s="107"/>
    </row>
    <row r="15" spans="1:7" s="1" customFormat="1">
      <c r="D15" s="11"/>
      <c r="E15" s="99"/>
      <c r="F15" s="107"/>
      <c r="G15" s="107"/>
    </row>
    <row r="16" spans="1:7" s="1" customFormat="1">
      <c r="A16" s="2">
        <v>2</v>
      </c>
      <c r="B16" s="4" t="s">
        <v>808</v>
      </c>
      <c r="C16" s="4" t="s">
        <v>88</v>
      </c>
      <c r="D16" s="2" t="s">
        <v>87</v>
      </c>
      <c r="E16" s="458">
        <f>'B.4.1 B'!K21</f>
        <v>499419.68577952601</v>
      </c>
      <c r="F16" s="107"/>
      <c r="G16" s="107"/>
    </row>
    <row r="17" spans="1:7" s="1" customFormat="1">
      <c r="D17" s="11"/>
      <c r="E17" s="458"/>
      <c r="F17" s="107"/>
      <c r="G17" s="107"/>
    </row>
    <row r="18" spans="1:7" s="1" customFormat="1">
      <c r="A18" s="2">
        <v>3</v>
      </c>
      <c r="B18" s="4" t="s">
        <v>1107</v>
      </c>
      <c r="C18" s="4" t="s">
        <v>88</v>
      </c>
      <c r="D18" s="2" t="s">
        <v>87</v>
      </c>
      <c r="E18" s="458">
        <f>'B.4.1 B'!K28</f>
        <v>7709187.0841779327</v>
      </c>
      <c r="F18" s="107"/>
      <c r="G18" s="107"/>
    </row>
    <row r="19" spans="1:7" s="1" customFormat="1">
      <c r="D19" s="11"/>
      <c r="E19" s="458"/>
      <c r="F19" s="107"/>
      <c r="G19" s="107"/>
    </row>
    <row r="20" spans="1:7" s="1" customFormat="1">
      <c r="A20" s="2">
        <v>4</v>
      </c>
      <c r="B20" s="4" t="s">
        <v>807</v>
      </c>
      <c r="C20" s="4" t="s">
        <v>88</v>
      </c>
      <c r="D20" s="2" t="s">
        <v>87</v>
      </c>
      <c r="E20" s="582">
        <f>'B.4.1 B'!K35</f>
        <v>1543318.5221844022</v>
      </c>
      <c r="F20" s="107"/>
      <c r="G20" s="107"/>
    </row>
    <row r="21" spans="1:7" s="1" customFormat="1">
      <c r="D21" s="11"/>
      <c r="E21" s="10"/>
      <c r="F21" s="107"/>
      <c r="G21" s="107"/>
    </row>
    <row r="22" spans="1:7" ht="15.75" thickBot="1">
      <c r="A22" s="2">
        <v>5</v>
      </c>
      <c r="B22" s="4" t="s">
        <v>505</v>
      </c>
      <c r="C22" s="1"/>
      <c r="D22" s="1"/>
      <c r="E22" s="388">
        <f>SUM(E14:E20)</f>
        <v>13082855.876792172</v>
      </c>
      <c r="F22" s="268"/>
      <c r="G22" s="268"/>
    </row>
    <row r="23" spans="1:7" ht="15.75" thickTop="1">
      <c r="D23" s="305"/>
      <c r="E23" s="259"/>
      <c r="F23" s="268"/>
      <c r="G23" s="268"/>
    </row>
    <row r="24" spans="1:7">
      <c r="E24" s="259"/>
      <c r="F24" s="268"/>
      <c r="G24" s="268"/>
    </row>
    <row r="25" spans="1:7">
      <c r="D25" s="305"/>
      <c r="E25" s="259"/>
      <c r="F25" s="268"/>
      <c r="G25" s="268"/>
    </row>
    <row r="26" spans="1:7">
      <c r="E26" s="259"/>
      <c r="F26" s="268"/>
      <c r="G26" s="268"/>
    </row>
    <row r="27" spans="1:7">
      <c r="D27" s="305"/>
      <c r="E27" s="259"/>
      <c r="F27" s="268"/>
      <c r="G27" s="268"/>
    </row>
    <row r="28" spans="1:7">
      <c r="E28" s="259"/>
      <c r="F28" s="268"/>
      <c r="G28" s="268"/>
    </row>
    <row r="29" spans="1:7">
      <c r="D29" s="305"/>
      <c r="E29" s="259"/>
    </row>
    <row r="30" spans="1:7">
      <c r="E30" s="259"/>
    </row>
    <row r="31" spans="1:7">
      <c r="E31" s="259"/>
    </row>
    <row r="32" spans="1:7">
      <c r="E32" s="259"/>
    </row>
    <row r="33" spans="5:5">
      <c r="E33" s="259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activeCell="E14" sqref="E14"/>
    </sheetView>
  </sheetViews>
  <sheetFormatPr defaultColWidth="8.44140625" defaultRowHeight="15"/>
  <cols>
    <col min="1" max="1" width="6.6640625" style="60" customWidth="1"/>
    <col min="2" max="2" width="30.6640625" style="60" customWidth="1"/>
    <col min="3" max="3" width="24.6640625" style="60" customWidth="1"/>
    <col min="4" max="4" width="17" style="60" customWidth="1"/>
    <col min="5" max="5" width="14.44140625" style="60" customWidth="1"/>
    <col min="6" max="6" width="11.88671875" style="60" customWidth="1"/>
    <col min="7" max="16384" width="8.44140625" style="60"/>
  </cols>
  <sheetData>
    <row r="1" spans="1:6" s="1" customFormat="1">
      <c r="A1" s="1248" t="str">
        <f>'Table of Contents'!A1:C1</f>
        <v>Atmos Energy Corporation, Kentucky/Mid-States Division</v>
      </c>
      <c r="B1" s="1248"/>
      <c r="C1" s="1248"/>
      <c r="D1" s="1248"/>
      <c r="E1" s="1248"/>
    </row>
    <row r="2" spans="1:6" s="1" customFormat="1">
      <c r="A2" s="1248" t="str">
        <f>'Table of Contents'!A2:C2</f>
        <v>Kentucky Jurisdiction Case No. 2015-00343</v>
      </c>
      <c r="B2" s="1248"/>
      <c r="C2" s="1248"/>
      <c r="D2" s="1248"/>
      <c r="E2" s="1248"/>
    </row>
    <row r="3" spans="1:6" s="1" customFormat="1">
      <c r="A3" s="1248" t="s">
        <v>445</v>
      </c>
      <c r="B3" s="1248"/>
      <c r="C3" s="1248"/>
      <c r="D3" s="1248"/>
      <c r="E3" s="1248"/>
    </row>
    <row r="4" spans="1:6" s="1" customFormat="1">
      <c r="A4" s="1248" t="str">
        <f>'B.1 F '!A4</f>
        <v>as of May 31, 2017</v>
      </c>
      <c r="B4" s="1248"/>
      <c r="C4" s="1248"/>
      <c r="D4" s="1248"/>
      <c r="E4" s="1248"/>
    </row>
    <row r="5" spans="1:6" s="1" customFormat="1">
      <c r="A5" s="107"/>
    </row>
    <row r="6" spans="1:6" s="1" customFormat="1">
      <c r="A6" s="4" t="str">
        <f>'B.1 F '!A6</f>
        <v>Data:______Base Period__X___Forecasted Period</v>
      </c>
      <c r="E6" s="1" t="s">
        <v>1515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719</v>
      </c>
    </row>
    <row r="8" spans="1:6" s="1" customFormat="1">
      <c r="A8" s="73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716</v>
      </c>
    </row>
    <row r="10" spans="1:6" s="1" customFormat="1">
      <c r="A10" s="2" t="s">
        <v>98</v>
      </c>
      <c r="B10" s="4" t="s">
        <v>802</v>
      </c>
      <c r="C10" s="2" t="s">
        <v>717</v>
      </c>
      <c r="D10" s="2" t="s">
        <v>100</v>
      </c>
      <c r="E10" s="2" t="s">
        <v>101</v>
      </c>
    </row>
    <row r="11" spans="1:6" s="1" customFormat="1">
      <c r="A11" s="9" t="s">
        <v>104</v>
      </c>
      <c r="B11" s="5" t="s">
        <v>1210</v>
      </c>
      <c r="C11" s="9" t="s">
        <v>576</v>
      </c>
      <c r="D11" s="9" t="s">
        <v>543</v>
      </c>
      <c r="E11" s="9" t="s">
        <v>107</v>
      </c>
    </row>
    <row r="12" spans="1:6" s="1" customFormat="1">
      <c r="E12" s="2"/>
    </row>
    <row r="14" spans="1:6" s="1" customFormat="1">
      <c r="A14" s="2">
        <v>1</v>
      </c>
      <c r="B14" s="4" t="s">
        <v>801</v>
      </c>
      <c r="C14" s="4" t="s">
        <v>33</v>
      </c>
      <c r="D14" s="2" t="s">
        <v>86</v>
      </c>
      <c r="E14" s="386">
        <f>'B.4.2 F'!H32</f>
        <v>3184323.5979133956</v>
      </c>
      <c r="F14" s="107"/>
    </row>
    <row r="15" spans="1:6" s="1" customFormat="1">
      <c r="D15" s="11"/>
      <c r="E15" s="99"/>
      <c r="F15" s="107"/>
    </row>
    <row r="16" spans="1:6" s="1" customFormat="1">
      <c r="A16" s="2">
        <v>2</v>
      </c>
      <c r="B16" s="4" t="s">
        <v>808</v>
      </c>
      <c r="C16" s="4" t="s">
        <v>88</v>
      </c>
      <c r="D16" s="2" t="s">
        <v>87</v>
      </c>
      <c r="E16" s="99">
        <f>'B.4.1 F'!K21</f>
        <v>466497.99410356081</v>
      </c>
      <c r="F16" s="107"/>
    </row>
    <row r="17" spans="1:6" s="1" customFormat="1">
      <c r="D17" s="11"/>
      <c r="E17" s="99"/>
      <c r="F17" s="107"/>
    </row>
    <row r="18" spans="1:6" s="1" customFormat="1">
      <c r="A18" s="2">
        <v>3</v>
      </c>
      <c r="B18" s="4" t="s">
        <v>1107</v>
      </c>
      <c r="C18" s="4" t="s">
        <v>88</v>
      </c>
      <c r="D18" s="2" t="s">
        <v>87</v>
      </c>
      <c r="E18" s="99">
        <f>'B.4.1 F'!K28</f>
        <v>6229573.3901578095</v>
      </c>
      <c r="F18" s="107"/>
    </row>
    <row r="19" spans="1:6" s="1" customFormat="1">
      <c r="D19" s="11"/>
      <c r="E19" s="99"/>
      <c r="F19" s="107"/>
    </row>
    <row r="20" spans="1:6" s="1" customFormat="1">
      <c r="A20" s="2">
        <v>4</v>
      </c>
      <c r="B20" s="4" t="s">
        <v>807</v>
      </c>
      <c r="C20" s="4" t="s">
        <v>88</v>
      </c>
      <c r="D20" s="2" t="s">
        <v>87</v>
      </c>
      <c r="E20" s="112">
        <f>'B.4.1 F'!K35</f>
        <v>1553913.6957664278</v>
      </c>
      <c r="F20" s="107"/>
    </row>
    <row r="21" spans="1:6" s="1" customFormat="1">
      <c r="D21" s="2"/>
      <c r="E21" s="10"/>
      <c r="F21" s="107"/>
    </row>
    <row r="22" spans="1:6" ht="15.75" thickBot="1">
      <c r="A22" s="2">
        <v>5</v>
      </c>
      <c r="B22" s="4" t="s">
        <v>505</v>
      </c>
      <c r="C22" s="1"/>
      <c r="D22" s="1"/>
      <c r="E22" s="388">
        <f>SUM(E14:E20)</f>
        <v>11434308.677941194</v>
      </c>
      <c r="F22" s="268"/>
    </row>
    <row r="23" spans="1:6" ht="15.75" thickTop="1">
      <c r="E23" s="259"/>
      <c r="F23" s="268"/>
    </row>
    <row r="24" spans="1:6">
      <c r="D24" s="305"/>
      <c r="E24" s="259"/>
      <c r="F24" s="268"/>
    </row>
    <row r="25" spans="1:6">
      <c r="E25" s="259"/>
      <c r="F25" s="268"/>
    </row>
    <row r="26" spans="1:6">
      <c r="D26" s="305"/>
      <c r="E26" s="259"/>
      <c r="F26" s="268"/>
    </row>
    <row r="27" spans="1:6">
      <c r="E27" s="259"/>
      <c r="F27" s="268"/>
    </row>
    <row r="28" spans="1:6">
      <c r="D28" s="305"/>
      <c r="E28" s="259"/>
      <c r="F28" s="268"/>
    </row>
    <row r="29" spans="1:6">
      <c r="E29" s="259"/>
      <c r="F29" s="268"/>
    </row>
    <row r="30" spans="1:6">
      <c r="E30" s="259"/>
      <c r="F30" s="268"/>
    </row>
    <row r="31" spans="1:6">
      <c r="E31" s="259"/>
    </row>
    <row r="32" spans="1:6">
      <c r="A32" s="247"/>
      <c r="B32" s="247"/>
      <c r="E32" s="259"/>
    </row>
    <row r="33" spans="2:5">
      <c r="B33" s="247"/>
      <c r="E33" s="259"/>
    </row>
    <row r="34" spans="2:5">
      <c r="B34" s="247"/>
      <c r="E34" s="259"/>
    </row>
    <row r="35" spans="2:5">
      <c r="B35" s="247"/>
      <c r="E35" s="259"/>
    </row>
    <row r="36" spans="2:5">
      <c r="E36" s="259"/>
    </row>
    <row r="37" spans="2:5">
      <c r="E37" s="259"/>
    </row>
    <row r="38" spans="2:5">
      <c r="E38" s="259"/>
    </row>
    <row r="39" spans="2:5">
      <c r="E39" s="259"/>
    </row>
  </sheetData>
  <mergeCells count="4">
    <mergeCell ref="A1:E1"/>
    <mergeCell ref="A2:E2"/>
    <mergeCell ref="A3:E3"/>
    <mergeCell ref="A4:E4"/>
  </mergeCells>
  <phoneticPr fontId="24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80" zoomScaleNormal="80" zoomScaleSheetLayoutView="80" workbookViewId="0">
      <selection activeCell="H24" sqref="H24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4.109375" style="89" customWidth="1"/>
    <col min="4" max="4" width="13.5546875" style="89" customWidth="1"/>
    <col min="5" max="5" width="11.77734375" style="89" customWidth="1"/>
    <col min="6" max="6" width="12.5546875" style="89" customWidth="1"/>
    <col min="7" max="7" width="2.88671875" style="121" customWidth="1"/>
    <col min="8" max="8" width="13.33203125" style="89" bestFit="1" customWidth="1"/>
    <col min="9" max="9" width="12.6640625" style="89" customWidth="1"/>
    <col min="10" max="10" width="10.77734375" style="89" customWidth="1"/>
    <col min="11" max="11" width="11.6640625" style="89" customWidth="1"/>
    <col min="12" max="16384" width="8.44140625" style="89"/>
  </cols>
  <sheetData>
    <row r="1" spans="1:11">
      <c r="A1" s="1255" t="str">
        <f>Allocation!A1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1">
      <c r="A2" s="1255" t="str">
        <f>Allocation!A2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</row>
    <row r="3" spans="1:11">
      <c r="A3" s="1255" t="s">
        <v>994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</row>
    <row r="4" spans="1:11">
      <c r="A4" s="1255" t="str">
        <f>'B.1 B'!A4</f>
        <v>as of February 29, 2016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</row>
    <row r="7" spans="1:11">
      <c r="A7" s="95" t="str">
        <f>'B.1 B'!A6</f>
        <v>Data:__X___Base Period______Forecasted Period</v>
      </c>
      <c r="K7" s="656" t="s">
        <v>1516</v>
      </c>
    </row>
    <row r="8" spans="1:11">
      <c r="A8" s="95" t="str">
        <f>'B.1 B'!A7</f>
        <v>Type of Filing:___X____Original________Updated ________Revised</v>
      </c>
      <c r="B8" s="4"/>
      <c r="K8" s="928" t="s">
        <v>720</v>
      </c>
    </row>
    <row r="9" spans="1:11">
      <c r="A9" s="629" t="str">
        <f>'B.1 B'!A8</f>
        <v>Workpaper Reference No(s).</v>
      </c>
      <c r="B9" s="121"/>
      <c r="C9" s="121"/>
      <c r="D9" s="121"/>
      <c r="E9" s="121"/>
      <c r="F9" s="121"/>
      <c r="H9" s="121"/>
      <c r="I9" s="121"/>
      <c r="K9" s="929" t="str">
        <f>'B.1 B'!F8</f>
        <v>Witness:   Waller</v>
      </c>
    </row>
    <row r="10" spans="1:11">
      <c r="A10" s="443"/>
      <c r="B10" s="444"/>
      <c r="C10" s="1249" t="s">
        <v>1191</v>
      </c>
      <c r="D10" s="1250"/>
      <c r="E10" s="1250"/>
      <c r="F10" s="1251"/>
      <c r="H10" s="1252" t="s">
        <v>527</v>
      </c>
      <c r="I10" s="1253"/>
      <c r="J10" s="1253"/>
      <c r="K10" s="1254"/>
    </row>
    <row r="11" spans="1:11">
      <c r="A11" s="630"/>
      <c r="B11" s="631"/>
      <c r="C11" s="443"/>
      <c r="D11" s="439" t="s">
        <v>13</v>
      </c>
      <c r="E11" s="440" t="s">
        <v>11</v>
      </c>
      <c r="F11" s="444"/>
      <c r="H11" s="443"/>
      <c r="I11" s="439" t="s">
        <v>13</v>
      </c>
      <c r="J11" s="440" t="s">
        <v>11</v>
      </c>
      <c r="K11" s="444"/>
    </row>
    <row r="12" spans="1:11">
      <c r="A12" s="632" t="s">
        <v>98</v>
      </c>
      <c r="B12" s="631"/>
      <c r="C12" s="774">
        <f>'B.2 B'!D10</f>
        <v>42429</v>
      </c>
      <c r="D12" s="46" t="s">
        <v>14</v>
      </c>
      <c r="E12" s="101" t="s">
        <v>610</v>
      </c>
      <c r="F12" s="445" t="s">
        <v>12</v>
      </c>
      <c r="G12" s="320"/>
      <c r="H12" s="774">
        <f>C12</f>
        <v>42429</v>
      </c>
      <c r="I12" s="46" t="s">
        <v>14</v>
      </c>
      <c r="J12" s="101" t="s">
        <v>610</v>
      </c>
      <c r="K12" s="445" t="s">
        <v>12</v>
      </c>
    </row>
    <row r="13" spans="1:11">
      <c r="A13" s="633" t="s">
        <v>104</v>
      </c>
      <c r="B13" s="634" t="s">
        <v>1004</v>
      </c>
      <c r="C13" s="433" t="s">
        <v>326</v>
      </c>
      <c r="D13" s="257" t="s">
        <v>643</v>
      </c>
      <c r="E13" s="257" t="s">
        <v>643</v>
      </c>
      <c r="F13" s="446" t="s">
        <v>109</v>
      </c>
      <c r="G13" s="320"/>
      <c r="H13" s="433" t="s">
        <v>391</v>
      </c>
      <c r="I13" s="257" t="s">
        <v>643</v>
      </c>
      <c r="J13" s="257" t="s">
        <v>643</v>
      </c>
      <c r="K13" s="446" t="s">
        <v>109</v>
      </c>
    </row>
    <row r="14" spans="1:11">
      <c r="C14" s="319"/>
      <c r="F14" s="319"/>
      <c r="G14" s="320"/>
      <c r="H14" s="319"/>
      <c r="I14" s="319"/>
      <c r="K14" s="319"/>
    </row>
    <row r="16" spans="1:11">
      <c r="A16" s="319">
        <v>1</v>
      </c>
      <c r="B16" s="95" t="s">
        <v>534</v>
      </c>
      <c r="C16" s="113"/>
      <c r="D16" s="319"/>
      <c r="E16" s="319"/>
      <c r="F16" s="90"/>
      <c r="G16" s="111"/>
      <c r="H16" s="113"/>
      <c r="I16" s="113"/>
      <c r="J16" s="319"/>
      <c r="K16" s="90"/>
    </row>
    <row r="17" spans="1:11">
      <c r="A17" s="319">
        <v>2</v>
      </c>
      <c r="B17" s="413" t="s">
        <v>1192</v>
      </c>
      <c r="C17" s="442">
        <f>'WP B.4.1B'!O15</f>
        <v>-740439.30500000005</v>
      </c>
      <c r="D17" s="460">
        <v>1</v>
      </c>
      <c r="E17" s="460">
        <v>1</v>
      </c>
      <c r="F17" s="453">
        <f>C17*D17*E17</f>
        <v>-740439.30500000005</v>
      </c>
      <c r="G17" s="111"/>
      <c r="H17" s="442">
        <f>'WP B.4.1B'!P15</f>
        <v>-719438.51769230759</v>
      </c>
      <c r="I17" s="447">
        <f t="shared" ref="I17:J20" si="0">D17</f>
        <v>1</v>
      </c>
      <c r="J17" s="447">
        <f t="shared" si="0"/>
        <v>1</v>
      </c>
      <c r="K17" s="453">
        <f>H17*I17*J17</f>
        <v>-719438.51769230759</v>
      </c>
    </row>
    <row r="18" spans="1:11">
      <c r="A18" s="319">
        <v>3</v>
      </c>
      <c r="B18" s="413" t="s">
        <v>1193</v>
      </c>
      <c r="C18" s="455">
        <f>'WP B.4.1B'!O20</f>
        <v>2501713.2850000006</v>
      </c>
      <c r="D18" s="460">
        <v>1</v>
      </c>
      <c r="E18" s="461">
        <f>Allocation!H17</f>
        <v>0.49090457251500325</v>
      </c>
      <c r="F18" s="454">
        <f>C18*D18*E18</f>
        <v>1228102.4907280297</v>
      </c>
      <c r="G18" s="459"/>
      <c r="H18" s="455">
        <f>'WP B.4.1B'!P20</f>
        <v>2482882.1561538465</v>
      </c>
      <c r="I18" s="447">
        <f t="shared" si="0"/>
        <v>1</v>
      </c>
      <c r="J18" s="96">
        <f t="shared" si="0"/>
        <v>0.49090457251500325</v>
      </c>
      <c r="K18" s="454">
        <f>H18*I18*J18</f>
        <v>1218858.2034718336</v>
      </c>
    </row>
    <row r="19" spans="1:11">
      <c r="A19" s="319">
        <v>4</v>
      </c>
      <c r="B19" s="413" t="s">
        <v>1194</v>
      </c>
      <c r="C19" s="455">
        <f>'WP B.4.1B'!O25</f>
        <v>0</v>
      </c>
      <c r="D19" s="461">
        <f>Allocation!C14</f>
        <v>0.1071</v>
      </c>
      <c r="E19" s="461">
        <f>Allocation!H14</f>
        <v>0.49090457251500325</v>
      </c>
      <c r="F19" s="454">
        <f>C19*D19*E19</f>
        <v>0</v>
      </c>
      <c r="G19" s="459"/>
      <c r="H19" s="455">
        <f>'WP B.4.1B'!P25</f>
        <v>3.148250890752444E-12</v>
      </c>
      <c r="I19" s="96">
        <f t="shared" si="0"/>
        <v>0.1071</v>
      </c>
      <c r="J19" s="96">
        <f t="shared" si="0"/>
        <v>0.49090457251500325</v>
      </c>
      <c r="K19" s="454">
        <f>H19*I19*J19</f>
        <v>1.6552206014911381E-13</v>
      </c>
    </row>
    <row r="20" spans="1:11">
      <c r="A20" s="319">
        <v>5</v>
      </c>
      <c r="B20" s="413" t="s">
        <v>1195</v>
      </c>
      <c r="C20" s="456">
        <f>'WP B.4.1B'!O30</f>
        <v>0</v>
      </c>
      <c r="D20" s="461">
        <f>Allocation!C15</f>
        <v>0.1086</v>
      </c>
      <c r="E20" s="461">
        <f>Allocation!H15</f>
        <v>0.52599015110063552</v>
      </c>
      <c r="F20" s="457">
        <f>C20*D20*E20</f>
        <v>0</v>
      </c>
      <c r="G20" s="459"/>
      <c r="H20" s="456">
        <f>'WP B.4.1B'!P30</f>
        <v>0</v>
      </c>
      <c r="I20" s="96">
        <f t="shared" si="0"/>
        <v>0.1086</v>
      </c>
      <c r="J20" s="96">
        <f t="shared" si="0"/>
        <v>0.52599015110063552</v>
      </c>
      <c r="K20" s="457">
        <f>H20*I20*J20</f>
        <v>0</v>
      </c>
    </row>
    <row r="21" spans="1:11">
      <c r="A21" s="319">
        <v>6</v>
      </c>
      <c r="B21" s="366" t="s">
        <v>101</v>
      </c>
      <c r="C21" s="442">
        <f>SUM(C17:C20)</f>
        <v>1761273.9800000004</v>
      </c>
      <c r="D21" s="248"/>
      <c r="E21" s="319"/>
      <c r="F21" s="442">
        <f>SUM(F17:F20)</f>
        <v>487663.1857280297</v>
      </c>
      <c r="G21" s="111"/>
      <c r="H21" s="442">
        <f>SUM(H17:H20)</f>
        <v>1763443.6384615391</v>
      </c>
      <c r="I21" s="113"/>
      <c r="J21" s="319"/>
      <c r="K21" s="442">
        <f>SUM(K17:K20)</f>
        <v>499419.68577952601</v>
      </c>
    </row>
    <row r="22" spans="1:11">
      <c r="A22" s="319">
        <v>7</v>
      </c>
      <c r="C22" s="123"/>
      <c r="F22" s="90"/>
      <c r="G22" s="111"/>
      <c r="H22" s="113"/>
      <c r="I22" s="113"/>
      <c r="K22" s="90"/>
    </row>
    <row r="23" spans="1:11">
      <c r="A23" s="319">
        <v>8</v>
      </c>
      <c r="B23" s="95" t="s">
        <v>535</v>
      </c>
      <c r="C23" s="113"/>
      <c r="D23" s="319"/>
      <c r="E23" s="319"/>
      <c r="F23" s="90"/>
      <c r="G23" s="111"/>
      <c r="H23" s="113"/>
      <c r="I23" s="113"/>
      <c r="J23" s="319"/>
      <c r="K23" s="90"/>
    </row>
    <row r="24" spans="1:11">
      <c r="A24" s="319">
        <v>9</v>
      </c>
      <c r="B24" s="413" t="s">
        <v>1192</v>
      </c>
      <c r="C24" s="442">
        <f>'WP B.4.1B'!O34</f>
        <v>-778028.49315554556</v>
      </c>
      <c r="D24" s="447">
        <f>D17</f>
        <v>1</v>
      </c>
      <c r="E24" s="447">
        <f>E17</f>
        <v>1</v>
      </c>
      <c r="F24" s="453">
        <f>C24*D24*E24</f>
        <v>-778028.49315554556</v>
      </c>
      <c r="G24" s="111"/>
      <c r="H24" s="442">
        <f>'WP B.4.1B'!P34</f>
        <v>7709187.0841779327</v>
      </c>
      <c r="I24" s="447">
        <f>I17</f>
        <v>1</v>
      </c>
      <c r="J24" s="447">
        <f>J17</f>
        <v>1</v>
      </c>
      <c r="K24" s="453">
        <f>H24*I24*J24</f>
        <v>7709187.0841779327</v>
      </c>
    </row>
    <row r="25" spans="1:11">
      <c r="A25" s="319">
        <v>10</v>
      </c>
      <c r="B25" s="413" t="s">
        <v>1193</v>
      </c>
      <c r="C25" s="451">
        <f>'WP B.4.1B'!O36</f>
        <v>0</v>
      </c>
      <c r="D25" s="447">
        <f t="shared" ref="D25:E27" si="1">D18</f>
        <v>1</v>
      </c>
      <c r="E25" s="96">
        <f t="shared" si="1"/>
        <v>0.49090457251500325</v>
      </c>
      <c r="F25" s="454">
        <f>C25*D25*E25</f>
        <v>0</v>
      </c>
      <c r="G25" s="459"/>
      <c r="H25" s="455">
        <f>'WP B.4.1B'!P36</f>
        <v>0</v>
      </c>
      <c r="I25" s="447">
        <f t="shared" ref="I25:J27" si="2">I18</f>
        <v>1</v>
      </c>
      <c r="J25" s="96">
        <f t="shared" si="2"/>
        <v>0.49090457251500325</v>
      </c>
      <c r="K25" s="454">
        <f>H25*I25*J25</f>
        <v>0</v>
      </c>
    </row>
    <row r="26" spans="1:11">
      <c r="A26" s="319">
        <v>11</v>
      </c>
      <c r="B26" s="413" t="s">
        <v>1194</v>
      </c>
      <c r="C26" s="451">
        <f>'WP B.4.1B'!O38</f>
        <v>0</v>
      </c>
      <c r="D26" s="96">
        <f t="shared" si="1"/>
        <v>0.1071</v>
      </c>
      <c r="E26" s="96">
        <f t="shared" si="1"/>
        <v>0.49090457251500325</v>
      </c>
      <c r="F26" s="454">
        <f>C26*D26*E26</f>
        <v>0</v>
      </c>
      <c r="G26" s="459"/>
      <c r="H26" s="455">
        <f>'WP B.4.1B'!P38</f>
        <v>0</v>
      </c>
      <c r="I26" s="96">
        <f t="shared" si="2"/>
        <v>0.1071</v>
      </c>
      <c r="J26" s="96">
        <f t="shared" si="2"/>
        <v>0.49090457251500325</v>
      </c>
      <c r="K26" s="454">
        <f>H26*I26*J26</f>
        <v>0</v>
      </c>
    </row>
    <row r="27" spans="1:11">
      <c r="A27" s="319">
        <v>12</v>
      </c>
      <c r="B27" s="413" t="s">
        <v>1195</v>
      </c>
      <c r="C27" s="452">
        <f>'WP B.4.1B'!O40</f>
        <v>0</v>
      </c>
      <c r="D27" s="96">
        <f t="shared" si="1"/>
        <v>0.1086</v>
      </c>
      <c r="E27" s="96">
        <f t="shared" si="1"/>
        <v>0.52599015110063552</v>
      </c>
      <c r="F27" s="457">
        <f>C27*D27*E27</f>
        <v>0</v>
      </c>
      <c r="G27" s="459"/>
      <c r="H27" s="456">
        <f>'WP B.4.1B'!P40</f>
        <v>0</v>
      </c>
      <c r="I27" s="96">
        <f t="shared" si="2"/>
        <v>0.1086</v>
      </c>
      <c r="J27" s="96">
        <f t="shared" si="2"/>
        <v>0.52599015110063552</v>
      </c>
      <c r="K27" s="457">
        <f>H27*I27*J27</f>
        <v>0</v>
      </c>
    </row>
    <row r="28" spans="1:11">
      <c r="A28" s="319">
        <v>13</v>
      </c>
      <c r="B28" s="366" t="s">
        <v>101</v>
      </c>
      <c r="C28" s="442">
        <f>SUM(C24:C27)</f>
        <v>-778028.49315554556</v>
      </c>
      <c r="D28" s="319"/>
      <c r="E28" s="319"/>
      <c r="F28" s="442">
        <f>SUM(F24:F27)</f>
        <v>-778028.49315554556</v>
      </c>
      <c r="G28" s="111"/>
      <c r="H28" s="442">
        <f>SUM(H24:H27)</f>
        <v>7709187.0841779327</v>
      </c>
      <c r="I28" s="113"/>
      <c r="J28" s="319"/>
      <c r="K28" s="442">
        <f>SUM(K24:K27)</f>
        <v>7709187.0841779327</v>
      </c>
    </row>
    <row r="29" spans="1:11">
      <c r="A29" s="319">
        <v>14</v>
      </c>
      <c r="B29" s="366"/>
      <c r="C29" s="135"/>
      <c r="D29" s="321"/>
      <c r="E29" s="321"/>
      <c r="F29" s="111"/>
      <c r="G29" s="111"/>
      <c r="H29" s="114"/>
      <c r="I29" s="114"/>
      <c r="J29" s="320"/>
      <c r="K29" s="90"/>
    </row>
    <row r="30" spans="1:11">
      <c r="A30" s="319">
        <v>15</v>
      </c>
      <c r="B30" s="95" t="s">
        <v>536</v>
      </c>
      <c r="C30" s="114"/>
      <c r="D30" s="319"/>
      <c r="E30" s="319"/>
      <c r="F30" s="111"/>
      <c r="G30" s="111"/>
      <c r="H30" s="114"/>
      <c r="I30" s="114"/>
      <c r="J30" s="319"/>
      <c r="K30" s="111"/>
    </row>
    <row r="31" spans="1:11">
      <c r="A31" s="319">
        <v>16</v>
      </c>
      <c r="B31" s="413" t="s">
        <v>1192</v>
      </c>
      <c r="C31" s="442">
        <f>'WP B.4.1B'!O44</f>
        <v>198050.98500000002</v>
      </c>
      <c r="D31" s="447">
        <f>D17</f>
        <v>1</v>
      </c>
      <c r="E31" s="447">
        <f>E17</f>
        <v>1</v>
      </c>
      <c r="F31" s="453">
        <f>C31*D31*E31</f>
        <v>198050.98500000002</v>
      </c>
      <c r="G31" s="111"/>
      <c r="H31" s="442">
        <f>'WP B.4.1B'!P44</f>
        <v>190973.07153846155</v>
      </c>
      <c r="I31" s="447">
        <f>I17</f>
        <v>1</v>
      </c>
      <c r="J31" s="447">
        <f>J17</f>
        <v>1</v>
      </c>
      <c r="K31" s="453">
        <f>H31*I31*J31</f>
        <v>190973.07153846155</v>
      </c>
    </row>
    <row r="32" spans="1:11">
      <c r="A32" s="319">
        <v>17</v>
      </c>
      <c r="B32" s="413" t="s">
        <v>1193</v>
      </c>
      <c r="C32" s="455">
        <f>'WP B.4.1B'!O46</f>
        <v>2075.2800000000002</v>
      </c>
      <c r="D32" s="447">
        <f t="shared" ref="D32:E34" si="3">D18</f>
        <v>1</v>
      </c>
      <c r="E32" s="96">
        <f t="shared" si="3"/>
        <v>0.49090457251500325</v>
      </c>
      <c r="F32" s="454">
        <f>C32*D32*E32</f>
        <v>1018.764441248936</v>
      </c>
      <c r="G32" s="111"/>
      <c r="H32" s="455">
        <f>'WP B.4.1B'!P46</f>
        <v>3281.1792307692303</v>
      </c>
      <c r="I32" s="447">
        <f t="shared" ref="I32:J34" si="4">I18</f>
        <v>1</v>
      </c>
      <c r="J32" s="96">
        <f t="shared" si="4"/>
        <v>0.49090457251500325</v>
      </c>
      <c r="K32" s="454">
        <f>H32*I32*J32</f>
        <v>1610.7458876258761</v>
      </c>
    </row>
    <row r="33" spans="1:11">
      <c r="A33" s="319">
        <v>18</v>
      </c>
      <c r="B33" s="413" t="s">
        <v>1194</v>
      </c>
      <c r="C33" s="455">
        <f>'WP B.4.1B'!O48</f>
        <v>25758680.050000001</v>
      </c>
      <c r="D33" s="96">
        <f t="shared" si="3"/>
        <v>0.1071</v>
      </c>
      <c r="E33" s="96">
        <f t="shared" si="3"/>
        <v>0.49090457251500325</v>
      </c>
      <c r="F33" s="454">
        <f>C33*D33*E33</f>
        <v>1354285.2639609207</v>
      </c>
      <c r="G33" s="111"/>
      <c r="H33" s="455">
        <f>'WP B.4.1B'!P48</f>
        <v>25691147.956923082</v>
      </c>
      <c r="I33" s="96">
        <f t="shared" si="4"/>
        <v>0.1071</v>
      </c>
      <c r="J33" s="96">
        <f t="shared" si="4"/>
        <v>0.49090457251500325</v>
      </c>
      <c r="K33" s="454">
        <f>H33*I33*J33</f>
        <v>1350734.7047583149</v>
      </c>
    </row>
    <row r="34" spans="1:11">
      <c r="A34" s="319">
        <v>19</v>
      </c>
      <c r="B34" s="413" t="s">
        <v>1195</v>
      </c>
      <c r="C34" s="456" t="str">
        <f>'WP B.4.1B'!O50</f>
        <v xml:space="preserve"> 0</v>
      </c>
      <c r="D34" s="96">
        <f t="shared" si="3"/>
        <v>0.1086</v>
      </c>
      <c r="E34" s="96">
        <f t="shared" si="3"/>
        <v>0.52599015110063552</v>
      </c>
      <c r="F34" s="457">
        <f>C34*D34*E34</f>
        <v>0</v>
      </c>
      <c r="G34" s="111"/>
      <c r="H34" s="456">
        <f>'WP B.4.1B'!P50</f>
        <v>0</v>
      </c>
      <c r="I34" s="96">
        <f t="shared" si="4"/>
        <v>0.1086</v>
      </c>
      <c r="J34" s="96">
        <f t="shared" si="4"/>
        <v>0.52599015110063552</v>
      </c>
      <c r="K34" s="457">
        <f>H34*I34*J34</f>
        <v>0</v>
      </c>
    </row>
    <row r="35" spans="1:11">
      <c r="A35" s="319">
        <v>20</v>
      </c>
      <c r="B35" s="366" t="s">
        <v>101</v>
      </c>
      <c r="C35" s="442">
        <f>SUM(C31:C34)</f>
        <v>25958806.315000001</v>
      </c>
      <c r="D35" s="319"/>
      <c r="E35" s="319"/>
      <c r="F35" s="442">
        <f>SUM(F31:F34)</f>
        <v>1553355.0134021696</v>
      </c>
      <c r="G35" s="111"/>
      <c r="H35" s="442">
        <f>SUM(H31:H34)</f>
        <v>25885402.207692314</v>
      </c>
      <c r="I35" s="113"/>
      <c r="J35" s="319"/>
      <c r="K35" s="442">
        <f>SUM(K31:K34)</f>
        <v>1543318.5221844022</v>
      </c>
    </row>
    <row r="36" spans="1:11">
      <c r="A36" s="319">
        <v>21</v>
      </c>
      <c r="B36" s="366"/>
      <c r="D36" s="322"/>
      <c r="E36" s="322"/>
      <c r="F36" s="90"/>
      <c r="G36" s="111"/>
      <c r="H36" s="90"/>
      <c r="I36" s="90"/>
      <c r="K36" s="90"/>
    </row>
    <row r="37" spans="1:11" ht="15.75" thickBot="1">
      <c r="A37" s="319">
        <v>22</v>
      </c>
      <c r="B37" s="95" t="s">
        <v>504</v>
      </c>
      <c r="C37" s="449">
        <f>C35+C28+C21</f>
        <v>26942051.801844455</v>
      </c>
      <c r="F37" s="449">
        <f>F35+F28+F21</f>
        <v>1262989.7059746538</v>
      </c>
      <c r="G37" s="111"/>
      <c r="H37" s="449">
        <f>H35+H28+H21</f>
        <v>35358032.930331782</v>
      </c>
      <c r="I37" s="111"/>
      <c r="K37" s="449">
        <f>K35+K28+K21</f>
        <v>9751925.2921418622</v>
      </c>
    </row>
    <row r="38" spans="1:11" ht="15.75" thickTop="1">
      <c r="D38" s="322"/>
      <c r="E38" s="322"/>
      <c r="F38" s="90"/>
      <c r="G38" s="111"/>
      <c r="H38" s="90"/>
      <c r="I38" s="90"/>
    </row>
    <row r="39" spans="1:11">
      <c r="A39" s="319"/>
      <c r="F39" s="90"/>
      <c r="G39" s="111"/>
      <c r="H39" s="90"/>
      <c r="I39" s="90"/>
    </row>
    <row r="40" spans="1:11">
      <c r="D40" s="322"/>
      <c r="E40" s="322"/>
      <c r="F40" s="90"/>
      <c r="G40" s="111"/>
    </row>
    <row r="41" spans="1:11">
      <c r="C41" s="90"/>
      <c r="F41" s="90"/>
      <c r="G41" s="111"/>
    </row>
    <row r="42" spans="1:11">
      <c r="D42" s="322"/>
      <c r="E42" s="322"/>
      <c r="F42" s="90"/>
      <c r="G42" s="111"/>
    </row>
    <row r="43" spans="1:11">
      <c r="F43" s="90"/>
      <c r="G43" s="111"/>
    </row>
    <row r="44" spans="1:11">
      <c r="D44" s="322"/>
      <c r="E44" s="322"/>
      <c r="F44" s="90"/>
      <c r="G44" s="111"/>
    </row>
    <row r="45" spans="1:11">
      <c r="F45" s="90"/>
      <c r="G45" s="111"/>
    </row>
    <row r="46" spans="1:11">
      <c r="D46" s="322"/>
      <c r="E46" s="322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80" zoomScaleNormal="80" zoomScaleSheetLayoutView="80" workbookViewId="0">
      <selection activeCell="H12" sqref="H12"/>
    </sheetView>
  </sheetViews>
  <sheetFormatPr defaultColWidth="8.44140625" defaultRowHeight="15"/>
  <cols>
    <col min="1" max="1" width="5" style="89" customWidth="1"/>
    <col min="2" max="2" width="42.77734375" style="89" customWidth="1"/>
    <col min="3" max="3" width="13.88671875" style="89" customWidth="1"/>
    <col min="4" max="4" width="13.6640625" style="89" customWidth="1"/>
    <col min="5" max="5" width="11.6640625" style="89" customWidth="1"/>
    <col min="6" max="6" width="13.5546875" style="89" customWidth="1"/>
    <col min="7" max="7" width="2.88671875" style="121" customWidth="1"/>
    <col min="8" max="8" width="13.33203125" style="89" bestFit="1" customWidth="1"/>
    <col min="9" max="9" width="13.109375" style="89" bestFit="1" customWidth="1"/>
    <col min="10" max="10" width="10.44140625" style="89" customWidth="1"/>
    <col min="11" max="11" width="13.33203125" style="89" customWidth="1"/>
    <col min="12" max="16384" width="8.44140625" style="89"/>
  </cols>
  <sheetData>
    <row r="1" spans="1:11">
      <c r="A1" s="1255" t="str">
        <f>Allocation!A1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</row>
    <row r="2" spans="1:11">
      <c r="A2" s="1255" t="str">
        <f>Allocation!A2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</row>
    <row r="3" spans="1:11">
      <c r="A3" s="1255" t="s">
        <v>994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</row>
    <row r="4" spans="1:11">
      <c r="A4" s="1255" t="str">
        <f>'B.1 F '!A4</f>
        <v>as of May 31, 2017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</row>
    <row r="7" spans="1:11">
      <c r="A7" s="95" t="str">
        <f>'B.1 F '!A6</f>
        <v>Data:______Base Period__X___Forecasted Period</v>
      </c>
      <c r="K7" s="656" t="s">
        <v>1516</v>
      </c>
    </row>
    <row r="8" spans="1:11">
      <c r="A8" s="95" t="str">
        <f>'B.1 F '!A7</f>
        <v>Type of Filing:___X____Original________Updated ________Revised</v>
      </c>
      <c r="B8" s="4"/>
      <c r="K8" s="928" t="s">
        <v>721</v>
      </c>
    </row>
    <row r="9" spans="1:11">
      <c r="A9" s="629" t="str">
        <f>'B.1 F '!A8</f>
        <v>Workpaper Reference No(s).</v>
      </c>
      <c r="B9" s="121"/>
      <c r="C9" s="121"/>
      <c r="D9" s="121"/>
      <c r="E9" s="121"/>
      <c r="F9" s="121"/>
      <c r="H9" s="121"/>
      <c r="I9" s="121"/>
      <c r="K9" s="929" t="str">
        <f>'B.1 B'!F8</f>
        <v>Witness:   Waller</v>
      </c>
    </row>
    <row r="10" spans="1:11">
      <c r="A10" s="443"/>
      <c r="B10" s="444"/>
      <c r="C10" s="1249" t="s">
        <v>165</v>
      </c>
      <c r="D10" s="1250"/>
      <c r="E10" s="1250"/>
      <c r="F10" s="1251"/>
      <c r="H10" s="1252" t="s">
        <v>527</v>
      </c>
      <c r="I10" s="1253"/>
      <c r="J10" s="1253"/>
      <c r="K10" s="1254"/>
    </row>
    <row r="11" spans="1:11">
      <c r="A11" s="630"/>
      <c r="B11" s="631"/>
      <c r="C11" s="443"/>
      <c r="D11" s="439" t="s">
        <v>13</v>
      </c>
      <c r="E11" s="440" t="s">
        <v>11</v>
      </c>
      <c r="F11" s="444"/>
      <c r="H11" s="443"/>
      <c r="I11" s="439" t="s">
        <v>13</v>
      </c>
      <c r="J11" s="440" t="s">
        <v>11</v>
      </c>
      <c r="K11" s="444"/>
    </row>
    <row r="12" spans="1:11">
      <c r="A12" s="632" t="s">
        <v>98</v>
      </c>
      <c r="B12" s="631"/>
      <c r="C12" s="774">
        <f>'B.2 F'!D10</f>
        <v>42886</v>
      </c>
      <c r="D12" s="46" t="s">
        <v>14</v>
      </c>
      <c r="E12" s="101" t="s">
        <v>610</v>
      </c>
      <c r="F12" s="445" t="s">
        <v>12</v>
      </c>
      <c r="G12" s="320"/>
      <c r="H12" s="774">
        <f>C12</f>
        <v>42886</v>
      </c>
      <c r="I12" s="46" t="s">
        <v>14</v>
      </c>
      <c r="J12" s="101" t="s">
        <v>610</v>
      </c>
      <c r="K12" s="445" t="s">
        <v>12</v>
      </c>
    </row>
    <row r="13" spans="1:11">
      <c r="A13" s="633" t="s">
        <v>104</v>
      </c>
      <c r="B13" s="634" t="s">
        <v>1004</v>
      </c>
      <c r="C13" s="433" t="s">
        <v>326</v>
      </c>
      <c r="D13" s="257" t="s">
        <v>643</v>
      </c>
      <c r="E13" s="257" t="s">
        <v>643</v>
      </c>
      <c r="F13" s="446" t="s">
        <v>109</v>
      </c>
      <c r="G13" s="320"/>
      <c r="H13" s="433" t="s">
        <v>391</v>
      </c>
      <c r="I13" s="257" t="s">
        <v>643</v>
      </c>
      <c r="J13" s="257" t="s">
        <v>643</v>
      </c>
      <c r="K13" s="446" t="s">
        <v>109</v>
      </c>
    </row>
    <row r="14" spans="1:11">
      <c r="C14" s="319"/>
      <c r="F14" s="319"/>
      <c r="G14" s="320"/>
      <c r="H14" s="319"/>
      <c r="I14" s="319"/>
      <c r="K14" s="319"/>
    </row>
    <row r="16" spans="1:11">
      <c r="A16" s="319">
        <v>1</v>
      </c>
      <c r="B16" s="95" t="s">
        <v>534</v>
      </c>
      <c r="C16" s="113"/>
      <c r="D16" s="319"/>
      <c r="E16" s="319"/>
      <c r="F16" s="90"/>
      <c r="G16" s="111"/>
      <c r="H16" s="113"/>
      <c r="I16" s="113"/>
      <c r="J16" s="319"/>
      <c r="K16" s="90"/>
    </row>
    <row r="17" spans="1:11">
      <c r="A17" s="319">
        <v>2</v>
      </c>
      <c r="B17" s="413" t="s">
        <v>1192</v>
      </c>
      <c r="C17" s="442">
        <f>'WP B.4.1F'!O15</f>
        <v>-740439.30500000005</v>
      </c>
      <c r="D17" s="460">
        <v>1</v>
      </c>
      <c r="E17" s="460">
        <v>1</v>
      </c>
      <c r="F17" s="453">
        <f>C17*D17*E17</f>
        <v>-740439.30500000005</v>
      </c>
      <c r="G17" s="111"/>
      <c r="H17" s="442">
        <f>'WP B.4.1F'!P15</f>
        <v>-740439.30499999982</v>
      </c>
      <c r="I17" s="447">
        <f t="shared" ref="I17:J20" si="0">D17</f>
        <v>1</v>
      </c>
      <c r="J17" s="447">
        <f t="shared" si="0"/>
        <v>1</v>
      </c>
      <c r="K17" s="453">
        <f>H17*I17*J17</f>
        <v>-740439.30499999982</v>
      </c>
    </row>
    <row r="18" spans="1:11">
      <c r="A18" s="319">
        <v>3</v>
      </c>
      <c r="B18" s="413" t="s">
        <v>1193</v>
      </c>
      <c r="C18" s="455">
        <f>'WP B.4.1F'!O20</f>
        <v>1941222.496111111</v>
      </c>
      <c r="D18" s="460">
        <v>1</v>
      </c>
      <c r="E18" s="461">
        <f>Allocation!D17</f>
        <v>0.49090457251500325</v>
      </c>
      <c r="F18" s="454">
        <f>C18*D18*E18</f>
        <v>952954.99960993254</v>
      </c>
      <c r="G18" s="111"/>
      <c r="H18" s="455">
        <f>'WP B.4.1F'!P20</f>
        <v>2458598.6089316243</v>
      </c>
      <c r="I18" s="447">
        <f t="shared" si="0"/>
        <v>1</v>
      </c>
      <c r="J18" s="96">
        <f t="shared" si="0"/>
        <v>0.49090457251500325</v>
      </c>
      <c r="K18" s="454">
        <f>H18*I18*J18</f>
        <v>1206937.2991035606</v>
      </c>
    </row>
    <row r="19" spans="1:11">
      <c r="A19" s="319">
        <v>4</v>
      </c>
      <c r="B19" s="413" t="s">
        <v>1194</v>
      </c>
      <c r="C19" s="455">
        <f>'WP B.4.1F'!O25</f>
        <v>0</v>
      </c>
      <c r="D19" s="461">
        <f>Allocation!C14</f>
        <v>0.1071</v>
      </c>
      <c r="E19" s="461">
        <f>Allocation!D14</f>
        <v>0.49090457251500325</v>
      </c>
      <c r="F19" s="454">
        <f>C19*D19*E19</f>
        <v>0</v>
      </c>
      <c r="G19" s="111"/>
      <c r="H19" s="455">
        <f>'WP B.4.1F'!P25</f>
        <v>0</v>
      </c>
      <c r="I19" s="96">
        <f t="shared" si="0"/>
        <v>0.1071</v>
      </c>
      <c r="J19" s="96">
        <f t="shared" si="0"/>
        <v>0.49090457251500325</v>
      </c>
      <c r="K19" s="454">
        <f>H19*I19*J19</f>
        <v>0</v>
      </c>
    </row>
    <row r="20" spans="1:11">
      <c r="A20" s="319">
        <v>5</v>
      </c>
      <c r="B20" s="413" t="s">
        <v>1195</v>
      </c>
      <c r="C20" s="456">
        <f>'WP B.4.1F'!O30</f>
        <v>0</v>
      </c>
      <c r="D20" s="461">
        <f>Allocation!C15</f>
        <v>0.1086</v>
      </c>
      <c r="E20" s="461">
        <f>Allocation!D15</f>
        <v>0.52599015110063552</v>
      </c>
      <c r="F20" s="457">
        <f>C20*D20*E20</f>
        <v>0</v>
      </c>
      <c r="G20" s="111"/>
      <c r="H20" s="456">
        <f>'WP B.4.1F'!T30</f>
        <v>0</v>
      </c>
      <c r="I20" s="96">
        <f t="shared" si="0"/>
        <v>0.1086</v>
      </c>
      <c r="J20" s="96">
        <f t="shared" si="0"/>
        <v>0.52599015110063552</v>
      </c>
      <c r="K20" s="457">
        <f>H20*I20*J20</f>
        <v>0</v>
      </c>
    </row>
    <row r="21" spans="1:11">
      <c r="A21" s="319">
        <v>6</v>
      </c>
      <c r="B21" s="366" t="s">
        <v>101</v>
      </c>
      <c r="C21" s="442">
        <f>SUM(C17:C20)</f>
        <v>1200783.1911111111</v>
      </c>
      <c r="D21" s="248"/>
      <c r="E21" s="319"/>
      <c r="F21" s="442">
        <f>SUM(F17:F20)</f>
        <v>212515.69460993249</v>
      </c>
      <c r="G21" s="111"/>
      <c r="H21" s="442">
        <f>SUM(H17:H20)</f>
        <v>1718159.3039316246</v>
      </c>
      <c r="I21" s="113"/>
      <c r="J21" s="319"/>
      <c r="K21" s="442">
        <f>SUM(K17:K20)</f>
        <v>466497.99410356081</v>
      </c>
    </row>
    <row r="22" spans="1:11">
      <c r="A22" s="319">
        <v>7</v>
      </c>
      <c r="C22" s="123"/>
      <c r="F22" s="90"/>
      <c r="G22" s="111"/>
      <c r="H22" s="123"/>
      <c r="I22" s="113"/>
      <c r="K22" s="90"/>
    </row>
    <row r="23" spans="1:11">
      <c r="A23" s="319">
        <v>8</v>
      </c>
      <c r="B23" s="95" t="s">
        <v>535</v>
      </c>
      <c r="C23" s="113"/>
      <c r="D23" s="319"/>
      <c r="E23" s="319"/>
      <c r="F23" s="90"/>
      <c r="G23" s="111"/>
      <c r="H23" s="113"/>
      <c r="I23" s="113"/>
      <c r="J23" s="319"/>
      <c r="K23" s="90"/>
    </row>
    <row r="24" spans="1:11">
      <c r="A24" s="319">
        <v>9</v>
      </c>
      <c r="B24" s="413" t="s">
        <v>1192</v>
      </c>
      <c r="C24" s="442">
        <f>'WP B.4.1F'!O34</f>
        <v>794950.46160146035</v>
      </c>
      <c r="D24" s="447">
        <f t="shared" ref="D24:E27" si="1">D17</f>
        <v>1</v>
      </c>
      <c r="E24" s="447">
        <f t="shared" si="1"/>
        <v>1</v>
      </c>
      <c r="F24" s="453">
        <f>C24*D24*E24</f>
        <v>794950.46160146035</v>
      </c>
      <c r="G24" s="111"/>
      <c r="H24" s="442">
        <f>'WP B.4.1F'!P34</f>
        <v>6229573.3901578095</v>
      </c>
      <c r="I24" s="447">
        <f t="shared" ref="I24:J27" si="2">I17</f>
        <v>1</v>
      </c>
      <c r="J24" s="447">
        <f t="shared" si="2"/>
        <v>1</v>
      </c>
      <c r="K24" s="453">
        <f>H24*I24*J24</f>
        <v>6229573.3901578095</v>
      </c>
    </row>
    <row r="25" spans="1:11">
      <c r="A25" s="319">
        <v>10</v>
      </c>
      <c r="B25" s="413" t="s">
        <v>1193</v>
      </c>
      <c r="C25" s="451">
        <f>'WP B.4.1F'!O36</f>
        <v>0</v>
      </c>
      <c r="D25" s="447">
        <f t="shared" si="1"/>
        <v>1</v>
      </c>
      <c r="E25" s="96">
        <f t="shared" si="1"/>
        <v>0.49090457251500325</v>
      </c>
      <c r="F25" s="454">
        <f>C25*D25*E25</f>
        <v>0</v>
      </c>
      <c r="G25" s="111"/>
      <c r="H25" s="451">
        <f>'WP B.4.1F'!P36</f>
        <v>0</v>
      </c>
      <c r="I25" s="447">
        <f t="shared" si="2"/>
        <v>1</v>
      </c>
      <c r="J25" s="96">
        <f t="shared" si="2"/>
        <v>0.49090457251500325</v>
      </c>
      <c r="K25" s="454">
        <f>H25*I25*J25</f>
        <v>0</v>
      </c>
    </row>
    <row r="26" spans="1:11">
      <c r="A26" s="319">
        <v>11</v>
      </c>
      <c r="B26" s="413" t="s">
        <v>1194</v>
      </c>
      <c r="C26" s="451">
        <f>'WP B.4.1F'!O38</f>
        <v>0</v>
      </c>
      <c r="D26" s="96">
        <f t="shared" si="1"/>
        <v>0.1071</v>
      </c>
      <c r="E26" s="96">
        <f t="shared" si="1"/>
        <v>0.49090457251500325</v>
      </c>
      <c r="F26" s="454">
        <f>C26*D26*E26</f>
        <v>0</v>
      </c>
      <c r="G26" s="111"/>
      <c r="H26" s="451">
        <f>'WP B.4.1F'!P38</f>
        <v>0</v>
      </c>
      <c r="I26" s="96">
        <f t="shared" si="2"/>
        <v>0.1071</v>
      </c>
      <c r="J26" s="96">
        <f t="shared" si="2"/>
        <v>0.49090457251500325</v>
      </c>
      <c r="K26" s="454">
        <f>H26*I26*J26</f>
        <v>0</v>
      </c>
    </row>
    <row r="27" spans="1:11">
      <c r="A27" s="319">
        <v>12</v>
      </c>
      <c r="B27" s="413" t="s">
        <v>1195</v>
      </c>
      <c r="C27" s="452">
        <f>'WP B.4.1F'!O40</f>
        <v>0</v>
      </c>
      <c r="D27" s="96">
        <f t="shared" si="1"/>
        <v>0.1086</v>
      </c>
      <c r="E27" s="96">
        <f t="shared" si="1"/>
        <v>0.52599015110063552</v>
      </c>
      <c r="F27" s="457">
        <f>C27*D27*E27</f>
        <v>0</v>
      </c>
      <c r="G27" s="111"/>
      <c r="H27" s="452">
        <f>'WP B.4.1F'!P40</f>
        <v>0</v>
      </c>
      <c r="I27" s="96">
        <f t="shared" si="2"/>
        <v>0.1086</v>
      </c>
      <c r="J27" s="96">
        <f t="shared" si="2"/>
        <v>0.52599015110063552</v>
      </c>
      <c r="K27" s="457">
        <f>H27*I27*J27</f>
        <v>0</v>
      </c>
    </row>
    <row r="28" spans="1:11">
      <c r="A28" s="319">
        <v>13</v>
      </c>
      <c r="B28" s="366" t="s">
        <v>101</v>
      </c>
      <c r="C28" s="442">
        <f>SUM(C24:C27)</f>
        <v>794950.46160146035</v>
      </c>
      <c r="D28" s="319"/>
      <c r="E28" s="319"/>
      <c r="F28" s="442">
        <f>SUM(F24:F27)</f>
        <v>794950.46160146035</v>
      </c>
      <c r="G28" s="111"/>
      <c r="H28" s="442">
        <f>SUM(H24:H27)</f>
        <v>6229573.3901578095</v>
      </c>
      <c r="I28" s="113"/>
      <c r="J28" s="319"/>
      <c r="K28" s="442">
        <f>SUM(K24:K27)</f>
        <v>6229573.3901578095</v>
      </c>
    </row>
    <row r="29" spans="1:11">
      <c r="A29" s="319">
        <v>14</v>
      </c>
      <c r="B29" s="366"/>
      <c r="C29" s="135"/>
      <c r="D29" s="321"/>
      <c r="E29" s="321"/>
      <c r="F29" s="111"/>
      <c r="G29" s="111"/>
      <c r="H29" s="135"/>
      <c r="I29" s="114"/>
      <c r="J29" s="320"/>
      <c r="K29" s="90"/>
    </row>
    <row r="30" spans="1:11">
      <c r="A30" s="319">
        <v>15</v>
      </c>
      <c r="B30" s="95" t="s">
        <v>536</v>
      </c>
      <c r="C30" s="114"/>
      <c r="D30" s="319"/>
      <c r="E30" s="319"/>
      <c r="F30" s="111"/>
      <c r="G30" s="111"/>
      <c r="H30" s="114"/>
      <c r="I30" s="114"/>
      <c r="J30" s="319"/>
      <c r="K30" s="111"/>
    </row>
    <row r="31" spans="1:11">
      <c r="A31" s="319">
        <v>16</v>
      </c>
      <c r="B31" s="413" t="s">
        <v>1192</v>
      </c>
      <c r="C31" s="442">
        <f>'WP B.4.1F'!O44</f>
        <v>198050.98500000002</v>
      </c>
      <c r="D31" s="447">
        <f t="shared" ref="D31:E34" si="3">D17</f>
        <v>1</v>
      </c>
      <c r="E31" s="447">
        <f t="shared" si="3"/>
        <v>1</v>
      </c>
      <c r="F31" s="453">
        <f>C31*D31*E31</f>
        <v>198050.98500000002</v>
      </c>
      <c r="G31" s="111"/>
      <c r="H31" s="442">
        <f>'WP B.4.1F'!P44</f>
        <v>198050.98500000002</v>
      </c>
      <c r="I31" s="447">
        <f t="shared" ref="I31:J34" si="4">I17</f>
        <v>1</v>
      </c>
      <c r="J31" s="447">
        <f t="shared" si="4"/>
        <v>1</v>
      </c>
      <c r="K31" s="453">
        <f>H31*I31*J31</f>
        <v>198050.98500000002</v>
      </c>
    </row>
    <row r="32" spans="1:11">
      <c r="A32" s="319">
        <v>17</v>
      </c>
      <c r="B32" s="413" t="s">
        <v>1193</v>
      </c>
      <c r="C32" s="455">
        <f>'WP B.4.1F'!O46</f>
        <v>16870.152857142857</v>
      </c>
      <c r="D32" s="447">
        <f t="shared" si="3"/>
        <v>1</v>
      </c>
      <c r="E32" s="96">
        <f t="shared" si="3"/>
        <v>0.49090457251500325</v>
      </c>
      <c r="F32" s="454">
        <f>C32*D32*E32</f>
        <v>8281.6351765984746</v>
      </c>
      <c r="G32" s="111"/>
      <c r="H32" s="455">
        <f>'WP B.4.1F'!P46</f>
        <v>3213.3471428571424</v>
      </c>
      <c r="I32" s="447">
        <f t="shared" si="4"/>
        <v>1</v>
      </c>
      <c r="J32" s="96">
        <f t="shared" si="4"/>
        <v>0.49090457251500325</v>
      </c>
      <c r="K32" s="454">
        <f>H32*I32*J32</f>
        <v>1577.4468055065927</v>
      </c>
    </row>
    <row r="33" spans="1:11">
      <c r="A33" s="319">
        <v>18</v>
      </c>
      <c r="B33" s="413" t="s">
        <v>1194</v>
      </c>
      <c r="C33" s="455">
        <f>'WP B.4.1F'!O48</f>
        <v>25758680.050000001</v>
      </c>
      <c r="D33" s="96">
        <f t="shared" si="3"/>
        <v>0.1071</v>
      </c>
      <c r="E33" s="96">
        <f t="shared" si="3"/>
        <v>0.49090457251500325</v>
      </c>
      <c r="F33" s="454">
        <f>C33*D33*E33</f>
        <v>1354285.2639609207</v>
      </c>
      <c r="G33" s="111"/>
      <c r="H33" s="455">
        <f>'WP B.4.1F'!P48</f>
        <v>25758680.050000008</v>
      </c>
      <c r="I33" s="96">
        <f t="shared" si="4"/>
        <v>0.1071</v>
      </c>
      <c r="J33" s="96">
        <f t="shared" si="4"/>
        <v>0.49090457251500325</v>
      </c>
      <c r="K33" s="454">
        <f>H33*I33*J33</f>
        <v>1354285.2639609212</v>
      </c>
    </row>
    <row r="34" spans="1:11">
      <c r="A34" s="319">
        <v>19</v>
      </c>
      <c r="B34" s="413" t="s">
        <v>1195</v>
      </c>
      <c r="C34" s="456" t="str">
        <f>'WP B.4.1F'!O50</f>
        <v xml:space="preserve"> 0</v>
      </c>
      <c r="D34" s="96">
        <f t="shared" si="3"/>
        <v>0.1086</v>
      </c>
      <c r="E34" s="96">
        <f t="shared" si="3"/>
        <v>0.52599015110063552</v>
      </c>
      <c r="F34" s="457">
        <f>C34*D34*E34</f>
        <v>0</v>
      </c>
      <c r="G34" s="111"/>
      <c r="H34" s="456">
        <f>'WP B.4.1F'!P50</f>
        <v>0</v>
      </c>
      <c r="I34" s="96">
        <f t="shared" si="4"/>
        <v>0.1086</v>
      </c>
      <c r="J34" s="96">
        <f t="shared" si="4"/>
        <v>0.52599015110063552</v>
      </c>
      <c r="K34" s="457">
        <f>H34*I34*J34</f>
        <v>0</v>
      </c>
    </row>
    <row r="35" spans="1:11">
      <c r="A35" s="319">
        <v>20</v>
      </c>
      <c r="B35" s="366" t="s">
        <v>101</v>
      </c>
      <c r="C35" s="442">
        <f>SUM(C31:C34)</f>
        <v>25973601.187857144</v>
      </c>
      <c r="D35" s="319"/>
      <c r="E35" s="319"/>
      <c r="F35" s="442">
        <f>SUM(F31:F34)</f>
        <v>1560617.8841375192</v>
      </c>
      <c r="G35" s="111"/>
      <c r="H35" s="442">
        <f>SUM(H31:H34)</f>
        <v>25959944.382142864</v>
      </c>
      <c r="I35" s="113"/>
      <c r="J35" s="319"/>
      <c r="K35" s="442">
        <f>SUM(K31:K34)</f>
        <v>1553913.6957664278</v>
      </c>
    </row>
    <row r="36" spans="1:11">
      <c r="A36" s="319">
        <v>21</v>
      </c>
      <c r="B36" s="366"/>
      <c r="D36" s="322"/>
      <c r="E36" s="322"/>
      <c r="F36" s="90"/>
      <c r="G36" s="111"/>
      <c r="H36" s="90"/>
      <c r="I36" s="90"/>
      <c r="K36" s="90"/>
    </row>
    <row r="37" spans="1:11" ht="15.75" thickBot="1">
      <c r="A37" s="319">
        <v>22</v>
      </c>
      <c r="B37" s="95" t="s">
        <v>504</v>
      </c>
      <c r="C37" s="449">
        <f>C35+C28+C21</f>
        <v>27969334.840569712</v>
      </c>
      <c r="F37" s="449">
        <f>F35+F28+F21</f>
        <v>2568084.0403489121</v>
      </c>
      <c r="G37" s="111"/>
      <c r="H37" s="449">
        <f>H35+H28+H21</f>
        <v>33907677.076232299</v>
      </c>
      <c r="I37" s="111"/>
      <c r="K37" s="449">
        <f>K21+K28+K35</f>
        <v>8249985.0800277982</v>
      </c>
    </row>
    <row r="38" spans="1:11" ht="15.75" thickTop="1">
      <c r="D38" s="322"/>
      <c r="E38" s="322"/>
      <c r="F38" s="90"/>
      <c r="G38" s="111"/>
      <c r="H38" s="90"/>
      <c r="I38" s="90"/>
    </row>
    <row r="39" spans="1:11">
      <c r="A39" s="319"/>
      <c r="F39" s="90"/>
      <c r="G39" s="111"/>
      <c r="H39" s="90"/>
      <c r="I39" s="90"/>
    </row>
    <row r="40" spans="1:11">
      <c r="D40" s="322"/>
      <c r="E40" s="322"/>
      <c r="F40" s="90"/>
      <c r="G40" s="111"/>
    </row>
    <row r="41" spans="1:11">
      <c r="C41" s="90"/>
      <c r="F41" s="90"/>
      <c r="G41" s="111"/>
    </row>
    <row r="42" spans="1:11">
      <c r="D42" s="322"/>
      <c r="E42" s="322"/>
      <c r="F42" s="90"/>
      <c r="G42" s="111"/>
    </row>
    <row r="43" spans="1:11">
      <c r="F43" s="90"/>
      <c r="G43" s="111"/>
    </row>
    <row r="44" spans="1:11">
      <c r="D44" s="322"/>
      <c r="E44" s="322"/>
      <c r="F44" s="90"/>
      <c r="G44" s="111"/>
    </row>
    <row r="45" spans="1:11">
      <c r="F45" s="90"/>
      <c r="G45" s="111"/>
    </row>
    <row r="46" spans="1:11">
      <c r="D46" s="322"/>
      <c r="E46" s="322"/>
      <c r="F46" s="90"/>
      <c r="G46" s="111"/>
    </row>
    <row r="47" spans="1:11">
      <c r="F47" s="90"/>
      <c r="G47" s="111"/>
    </row>
  </sheetData>
  <mergeCells count="6">
    <mergeCell ref="C10:F10"/>
    <mergeCell ref="H10:K10"/>
    <mergeCell ref="A1:K1"/>
    <mergeCell ref="A2:K2"/>
    <mergeCell ref="A3:K3"/>
    <mergeCell ref="A4:K4"/>
  </mergeCells>
  <phoneticPr fontId="24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80" zoomScaleNormal="90" zoomScaleSheetLayoutView="80" workbookViewId="0">
      <selection activeCell="L14" sqref="L14"/>
    </sheetView>
  </sheetViews>
  <sheetFormatPr defaultColWidth="8.44140625" defaultRowHeight="15"/>
  <cols>
    <col min="1" max="1" width="6.6640625" style="60" customWidth="1"/>
    <col min="2" max="2" width="34.109375" style="60" customWidth="1"/>
    <col min="3" max="3" width="3.88671875" style="60" customWidth="1"/>
    <col min="4" max="4" width="13.109375" style="60" customWidth="1"/>
    <col min="5" max="5" width="4.33203125" style="60" customWidth="1"/>
    <col min="6" max="6" width="14.44140625" style="60" customWidth="1"/>
    <col min="7" max="7" width="3.88671875" style="60" customWidth="1"/>
    <col min="8" max="8" width="13.109375" style="60" customWidth="1"/>
    <col min="9" max="9" width="6.6640625" style="60" customWidth="1"/>
    <col min="10" max="10" width="7.5546875" style="60" customWidth="1"/>
    <col min="11" max="11" width="3.33203125" style="60" customWidth="1"/>
    <col min="12" max="12" width="11.88671875" style="60" customWidth="1"/>
    <col min="13" max="13" width="3.33203125" style="60" customWidth="1"/>
    <col min="14" max="14" width="14.44140625" style="60" customWidth="1"/>
    <col min="15" max="16384" width="8.44140625" style="60"/>
  </cols>
  <sheetData>
    <row r="1" spans="1:11" s="1" customFormat="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</row>
    <row r="2" spans="1:11" s="1" customFormat="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</row>
    <row r="3" spans="1:11" s="1" customFormat="1">
      <c r="A3" s="1256" t="s">
        <v>1186</v>
      </c>
      <c r="B3" s="1256"/>
      <c r="C3" s="1256"/>
      <c r="D3" s="1256"/>
      <c r="E3" s="1256"/>
      <c r="F3" s="1256"/>
      <c r="G3" s="1256"/>
      <c r="H3" s="1256"/>
    </row>
    <row r="4" spans="1:11">
      <c r="A4" s="1256" t="str">
        <f>'B.1 B'!A4</f>
        <v>as of February 29, 2016</v>
      </c>
      <c r="B4" s="1256"/>
      <c r="C4" s="1256"/>
      <c r="D4" s="1256"/>
      <c r="E4" s="1256"/>
      <c r="F4" s="1256"/>
      <c r="G4" s="1256"/>
      <c r="H4" s="1256"/>
    </row>
    <row r="7" spans="1:11">
      <c r="A7" s="247" t="str">
        <f>'B.1 B'!A6</f>
        <v>Data:__X___Base Period______Forecasted Period</v>
      </c>
      <c r="H7" s="678" t="s">
        <v>1517</v>
      </c>
    </row>
    <row r="8" spans="1:11">
      <c r="A8" s="247" t="str">
        <f>'B.1 B'!A7</f>
        <v>Type of Filing:___X____Original________Updated ________Revised</v>
      </c>
      <c r="B8" s="4"/>
      <c r="H8" s="901" t="s">
        <v>722</v>
      </c>
    </row>
    <row r="9" spans="1:11">
      <c r="A9" s="265" t="str">
        <f>'B.1 B'!A8</f>
        <v>Workpaper Reference No(s).</v>
      </c>
      <c r="B9" s="262"/>
      <c r="C9" s="262"/>
      <c r="D9" s="262"/>
      <c r="E9" s="262"/>
      <c r="F9" s="262"/>
      <c r="G9" s="262"/>
      <c r="H9" s="902" t="str">
        <f>'B.1 B'!F8</f>
        <v>Witness:   Waller</v>
      </c>
      <c r="I9" s="263"/>
    </row>
    <row r="10" spans="1:11">
      <c r="A10" s="260" t="s">
        <v>98</v>
      </c>
      <c r="D10" s="260" t="s">
        <v>503</v>
      </c>
      <c r="F10" s="260" t="s">
        <v>32</v>
      </c>
      <c r="H10" s="260" t="s">
        <v>102</v>
      </c>
      <c r="I10" s="263"/>
    </row>
    <row r="11" spans="1:11">
      <c r="A11" s="306" t="s">
        <v>104</v>
      </c>
      <c r="B11" s="306" t="s">
        <v>1004</v>
      </c>
      <c r="C11" s="262"/>
      <c r="D11" s="306" t="s">
        <v>107</v>
      </c>
      <c r="E11" s="262"/>
      <c r="F11" s="306" t="s">
        <v>108</v>
      </c>
      <c r="G11" s="262"/>
      <c r="H11" s="306" t="s">
        <v>109</v>
      </c>
      <c r="I11" s="263"/>
    </row>
    <row r="12" spans="1:11">
      <c r="D12" s="260" t="s">
        <v>1112</v>
      </c>
      <c r="F12" s="260" t="s">
        <v>1113</v>
      </c>
      <c r="H12" s="260" t="s">
        <v>1114</v>
      </c>
      <c r="I12" s="263"/>
    </row>
    <row r="14" spans="1:11">
      <c r="A14" s="104">
        <v>1</v>
      </c>
      <c r="B14" s="247" t="s">
        <v>801</v>
      </c>
      <c r="D14" s="259"/>
      <c r="F14" s="380"/>
      <c r="H14" s="259"/>
      <c r="K14" s="259"/>
    </row>
    <row r="15" spans="1:11">
      <c r="A15" s="104"/>
      <c r="E15" s="259"/>
      <c r="F15" s="305"/>
      <c r="G15" s="259"/>
      <c r="H15" s="259"/>
      <c r="I15" s="259"/>
      <c r="K15" s="259"/>
    </row>
    <row r="16" spans="1:11">
      <c r="A16" s="104">
        <f>1+A14</f>
        <v>2</v>
      </c>
      <c r="B16" s="323" t="str">
        <f>+C.2!C18</f>
        <v>Production O&amp;M Expense</v>
      </c>
      <c r="D16" s="635">
        <f>+C.2!D18</f>
        <v>97.508702239093509</v>
      </c>
      <c r="F16" s="260" t="s">
        <v>1116</v>
      </c>
      <c r="H16" s="635">
        <f>(D16*0.125)</f>
        <v>12.188587779886689</v>
      </c>
      <c r="K16" s="259"/>
    </row>
    <row r="17" spans="1:11">
      <c r="A17" s="104"/>
      <c r="B17" s="324"/>
      <c r="K17" s="259"/>
    </row>
    <row r="18" spans="1:11">
      <c r="A18" s="104">
        <f>1+A16</f>
        <v>3</v>
      </c>
      <c r="B18" s="323" t="str">
        <f>+C.2!C19</f>
        <v>Storage O&amp;M Expense</v>
      </c>
      <c r="D18" s="259">
        <f>+C.2!D19</f>
        <v>362408.55462948012</v>
      </c>
      <c r="E18" s="259"/>
      <c r="F18" s="260" t="s">
        <v>1116</v>
      </c>
      <c r="G18" s="259"/>
      <c r="H18" s="259">
        <f>(D18*0.125)</f>
        <v>45301.069328685015</v>
      </c>
      <c r="I18" s="259"/>
      <c r="K18" s="259"/>
    </row>
    <row r="19" spans="1:11">
      <c r="A19" s="104"/>
      <c r="B19" s="324"/>
      <c r="E19" s="259"/>
      <c r="H19" s="259"/>
      <c r="I19" s="259"/>
      <c r="K19" s="259"/>
    </row>
    <row r="20" spans="1:11">
      <c r="A20" s="104">
        <f>1+A18</f>
        <v>4</v>
      </c>
      <c r="B20" s="323" t="str">
        <f>+C.2!C20</f>
        <v>Transmission O&amp;M Expense</v>
      </c>
      <c r="D20" s="259">
        <f>+C.2!D20</f>
        <v>362953.50522512116</v>
      </c>
      <c r="E20" s="259"/>
      <c r="F20" s="260" t="s">
        <v>1116</v>
      </c>
      <c r="G20" s="259"/>
      <c r="H20" s="259">
        <f>(D20*0.125)</f>
        <v>45369.188153140145</v>
      </c>
      <c r="K20" s="259"/>
    </row>
    <row r="21" spans="1:11">
      <c r="A21" s="104"/>
      <c r="B21" s="324"/>
      <c r="E21" s="259"/>
      <c r="F21" s="305"/>
      <c r="G21" s="259"/>
      <c r="H21" s="259"/>
      <c r="I21" s="259"/>
      <c r="K21" s="259"/>
    </row>
    <row r="22" spans="1:11">
      <c r="A22" s="104">
        <f>1+A20</f>
        <v>5</v>
      </c>
      <c r="B22" s="323" t="str">
        <f>+C.2!C21</f>
        <v>Distribution O&amp;M Expense</v>
      </c>
      <c r="D22" s="259">
        <f>+C.2!D21</f>
        <v>7317820.6217355933</v>
      </c>
      <c r="E22" s="259"/>
      <c r="F22" s="260" t="s">
        <v>1116</v>
      </c>
      <c r="G22" s="259"/>
      <c r="H22" s="259">
        <f>(D22*0.125)</f>
        <v>914727.57771694916</v>
      </c>
      <c r="I22" s="259"/>
      <c r="K22" s="259"/>
    </row>
    <row r="23" spans="1:11">
      <c r="A23" s="104"/>
      <c r="B23" s="324"/>
      <c r="E23" s="259"/>
      <c r="F23" s="305"/>
      <c r="G23" s="259"/>
      <c r="H23" s="259"/>
      <c r="I23" s="259"/>
      <c r="K23" s="259"/>
    </row>
    <row r="24" spans="1:11">
      <c r="A24" s="104">
        <f>1+A22</f>
        <v>6</v>
      </c>
      <c r="B24" s="324" t="str">
        <f>+C.2!C22</f>
        <v>Customer Accting. &amp; Collection</v>
      </c>
      <c r="D24" s="60">
        <f>+C.2!D22</f>
        <v>2146958.8701182501</v>
      </c>
      <c r="E24" s="259"/>
      <c r="F24" s="260" t="s">
        <v>1116</v>
      </c>
      <c r="G24" s="259"/>
      <c r="H24" s="259">
        <f>(D24*0.125)</f>
        <v>268369.85876478127</v>
      </c>
      <c r="I24" s="259"/>
      <c r="K24" s="259"/>
    </row>
    <row r="25" spans="1:11">
      <c r="A25" s="104"/>
      <c r="B25" s="324"/>
      <c r="E25" s="259"/>
      <c r="F25" s="305"/>
      <c r="G25" s="259"/>
      <c r="H25" s="259"/>
      <c r="I25" s="259"/>
      <c r="K25" s="259"/>
    </row>
    <row r="26" spans="1:11">
      <c r="A26" s="104">
        <f>1+A24</f>
        <v>7</v>
      </c>
      <c r="B26" s="323" t="str">
        <f>+C.2!C23</f>
        <v>Customer Service &amp; Information</v>
      </c>
      <c r="D26" s="259">
        <f>+C.2!D23</f>
        <v>125336.2162084311</v>
      </c>
      <c r="E26" s="259"/>
      <c r="F26" s="260" t="s">
        <v>1116</v>
      </c>
      <c r="G26" s="259"/>
      <c r="H26" s="259">
        <f>(D26*0.125)</f>
        <v>15667.027026053887</v>
      </c>
      <c r="I26" s="259"/>
      <c r="K26" s="259"/>
    </row>
    <row r="27" spans="1:11">
      <c r="A27" s="104"/>
      <c r="B27" s="324"/>
      <c r="D27" s="259"/>
      <c r="E27" s="259"/>
      <c r="F27" s="305"/>
      <c r="G27" s="259"/>
      <c r="H27" s="259"/>
      <c r="I27" s="259"/>
      <c r="K27" s="259"/>
    </row>
    <row r="28" spans="1:11">
      <c r="A28" s="104">
        <f>1+A26</f>
        <v>8</v>
      </c>
      <c r="B28" s="323" t="str">
        <f>+C.2!C24</f>
        <v>Sales Expense</v>
      </c>
      <c r="D28" s="259">
        <f>+C.2!D24</f>
        <v>337035.64807193889</v>
      </c>
      <c r="E28" s="259"/>
      <c r="F28" s="260" t="s">
        <v>1116</v>
      </c>
      <c r="G28" s="259"/>
      <c r="H28" s="259">
        <f>(D28*0.125)</f>
        <v>42129.456008992362</v>
      </c>
      <c r="I28" s="259"/>
      <c r="K28" s="259"/>
    </row>
    <row r="29" spans="1:11">
      <c r="A29" s="104"/>
      <c r="B29" s="324"/>
      <c r="D29" s="259"/>
      <c r="E29" s="259"/>
      <c r="F29" s="305"/>
      <c r="G29" s="259"/>
      <c r="H29" s="259"/>
      <c r="I29" s="259"/>
      <c r="K29" s="259"/>
    </row>
    <row r="30" spans="1:11">
      <c r="A30" s="104">
        <f>1+A28</f>
        <v>9</v>
      </c>
      <c r="B30" s="323" t="str">
        <f>+C.2!C25</f>
        <v>Admin. &amp; General Expense</v>
      </c>
      <c r="D30" s="264">
        <f>+C.2!D25</f>
        <v>15994833.752511442</v>
      </c>
      <c r="E30" s="259"/>
      <c r="F30" s="260" t="s">
        <v>1116</v>
      </c>
      <c r="G30" s="259"/>
      <c r="H30" s="264">
        <f>(D30*0.125)</f>
        <v>1999354.2190639302</v>
      </c>
      <c r="I30" s="259"/>
      <c r="K30" s="259"/>
    </row>
    <row r="31" spans="1:11">
      <c r="A31" s="104"/>
      <c r="D31" s="259"/>
      <c r="E31" s="259"/>
      <c r="F31" s="305"/>
      <c r="G31" s="259"/>
      <c r="H31" s="259"/>
      <c r="I31" s="259"/>
      <c r="K31" s="259"/>
    </row>
    <row r="32" spans="1:11" ht="15.75" thickBot="1">
      <c r="A32" s="104">
        <f>1+A30</f>
        <v>10</v>
      </c>
      <c r="B32" s="247" t="s">
        <v>139</v>
      </c>
      <c r="C32" s="268"/>
      <c r="D32" s="636">
        <f>SUM(D16:D30)</f>
        <v>26647444.677202497</v>
      </c>
      <c r="E32" s="259"/>
      <c r="G32" s="268"/>
      <c r="H32" s="636">
        <f>+D32*0.125</f>
        <v>3330930.5846503121</v>
      </c>
      <c r="I32" s="259"/>
      <c r="J32" s="60">
        <f>SUM(H16:H30)-H32</f>
        <v>0</v>
      </c>
      <c r="K32" s="259"/>
    </row>
    <row r="33" spans="2:11" ht="15.75" thickTop="1">
      <c r="E33" s="259"/>
      <c r="F33" s="305"/>
      <c r="G33" s="259"/>
      <c r="H33" s="259"/>
      <c r="I33" s="259"/>
      <c r="K33" s="259"/>
    </row>
    <row r="34" spans="2:11">
      <c r="E34" s="259"/>
      <c r="G34" s="259"/>
      <c r="H34" s="259"/>
      <c r="I34" s="259"/>
    </row>
    <row r="35" spans="2:11">
      <c r="B35" s="247"/>
      <c r="G35" s="259"/>
      <c r="H35" s="259"/>
      <c r="I35" s="259"/>
    </row>
    <row r="36" spans="2:11">
      <c r="B36" s="247"/>
      <c r="G36" s="259"/>
      <c r="H36" s="259"/>
      <c r="I36" s="259"/>
    </row>
    <row r="37" spans="2:11">
      <c r="B37" s="247"/>
      <c r="G37" s="259"/>
      <c r="H37" s="259"/>
      <c r="I37" s="259"/>
    </row>
    <row r="38" spans="2:11">
      <c r="G38" s="259"/>
      <c r="H38" s="259"/>
      <c r="I38" s="259"/>
    </row>
    <row r="39" spans="2:11">
      <c r="G39" s="259"/>
      <c r="H39" s="259"/>
      <c r="I39" s="259"/>
    </row>
    <row r="40" spans="2:11">
      <c r="G40" s="259"/>
      <c r="H40" s="259"/>
      <c r="I40" s="259"/>
    </row>
    <row r="41" spans="2:11">
      <c r="G41" s="259"/>
      <c r="H41" s="259"/>
      <c r="I41" s="259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80" zoomScaleNormal="90" zoomScaleSheetLayoutView="80" workbookViewId="0">
      <selection activeCell="B5" sqref="B5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</row>
    <row r="2" spans="1:1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</row>
    <row r="3" spans="1:11">
      <c r="A3" s="1256" t="s">
        <v>1186</v>
      </c>
      <c r="B3" s="1256"/>
      <c r="C3" s="1256"/>
      <c r="D3" s="1256"/>
      <c r="E3" s="1256"/>
      <c r="F3" s="1256"/>
      <c r="G3" s="1256"/>
      <c r="H3" s="1256"/>
    </row>
    <row r="4" spans="1:11">
      <c r="A4" s="1256" t="str">
        <f>'B.1 F '!A4</f>
        <v>as of May 31, 2017</v>
      </c>
      <c r="B4" s="1256"/>
      <c r="C4" s="1256"/>
      <c r="D4" s="1256"/>
      <c r="E4" s="1256"/>
      <c r="F4" s="1256"/>
      <c r="G4" s="1256"/>
      <c r="H4" s="1256"/>
    </row>
    <row r="5" spans="1:11">
      <c r="A5" s="232"/>
      <c r="B5" s="232"/>
      <c r="C5" s="232"/>
      <c r="D5" s="232"/>
      <c r="E5" s="232"/>
      <c r="F5" s="232"/>
      <c r="G5" s="232"/>
      <c r="H5" s="232"/>
    </row>
    <row r="7" spans="1:11">
      <c r="A7" s="4" t="str">
        <f>'B.1 F '!A6</f>
        <v>Data:______Base Period__X___Forecasted Period</v>
      </c>
      <c r="H7" s="491" t="s">
        <v>1517</v>
      </c>
    </row>
    <row r="8" spans="1:11">
      <c r="A8" s="4" t="str">
        <f>'B.1 F '!A7</f>
        <v>Type of Filing:___X____Original________Updated ________Revised</v>
      </c>
      <c r="B8" s="4"/>
      <c r="H8" s="648" t="s">
        <v>723</v>
      </c>
    </row>
    <row r="9" spans="1:11">
      <c r="A9" s="73" t="str">
        <f>'B.1 F '!A8</f>
        <v>Workpaper Reference No(s).</v>
      </c>
      <c r="B9" s="6"/>
      <c r="C9" s="6"/>
      <c r="D9" s="6"/>
      <c r="E9" s="6"/>
      <c r="F9" s="6"/>
      <c r="G9" s="6"/>
      <c r="H9" s="649" t="str">
        <f>'B.1 F '!F8</f>
        <v>Witness:   Waller</v>
      </c>
      <c r="I9" s="47"/>
    </row>
    <row r="10" spans="1:11">
      <c r="A10" s="2" t="s">
        <v>98</v>
      </c>
      <c r="D10" s="2" t="s">
        <v>503</v>
      </c>
      <c r="F10" s="2" t="s">
        <v>32</v>
      </c>
      <c r="H10" s="2" t="s">
        <v>102</v>
      </c>
      <c r="I10" s="47"/>
    </row>
    <row r="11" spans="1:11">
      <c r="A11" s="44" t="s">
        <v>104</v>
      </c>
      <c r="B11" s="44" t="s">
        <v>1004</v>
      </c>
      <c r="C11" s="45"/>
      <c r="D11" s="44" t="s">
        <v>107</v>
      </c>
      <c r="E11" s="45"/>
      <c r="F11" s="44" t="s">
        <v>108</v>
      </c>
      <c r="G11" s="45"/>
      <c r="H11" s="44" t="s">
        <v>109</v>
      </c>
      <c r="I11" s="47"/>
    </row>
    <row r="12" spans="1:11">
      <c r="A12" s="46"/>
      <c r="B12" s="46"/>
      <c r="C12" s="47"/>
      <c r="D12" s="46" t="s">
        <v>1112</v>
      </c>
      <c r="E12" s="47"/>
      <c r="F12" s="46" t="s">
        <v>1113</v>
      </c>
      <c r="G12" s="47"/>
      <c r="H12" s="46" t="s">
        <v>1114</v>
      </c>
      <c r="I12" s="47"/>
    </row>
    <row r="13" spans="1:11">
      <c r="I13" s="47"/>
    </row>
    <row r="14" spans="1:11">
      <c r="A14" s="77">
        <v>1</v>
      </c>
      <c r="B14" s="4" t="s">
        <v>801</v>
      </c>
      <c r="D14" s="10"/>
      <c r="H14" s="10"/>
      <c r="I14" s="47"/>
      <c r="K14" s="10"/>
    </row>
    <row r="15" spans="1:11">
      <c r="A15" s="77"/>
      <c r="E15" s="10"/>
      <c r="F15" s="11"/>
      <c r="G15" s="10"/>
      <c r="H15" s="10"/>
      <c r="I15" s="63"/>
      <c r="K15" s="10"/>
    </row>
    <row r="16" spans="1:11">
      <c r="A16" s="77">
        <f>1+A14</f>
        <v>2</v>
      </c>
      <c r="B16" s="224" t="str">
        <f>+C.2!C18</f>
        <v>Production O&amp;M Expense</v>
      </c>
      <c r="D16" s="628">
        <f>+C.2!O18</f>
        <v>103.72113051435586</v>
      </c>
      <c r="F16" s="2" t="s">
        <v>1116</v>
      </c>
      <c r="H16" s="628">
        <f>(D16*0.125)</f>
        <v>12.965141314294483</v>
      </c>
    </row>
    <row r="17" spans="1:11">
      <c r="A17" s="77"/>
      <c r="B17" s="213"/>
    </row>
    <row r="18" spans="1:11">
      <c r="A18" s="77">
        <f>1+A16</f>
        <v>3</v>
      </c>
      <c r="B18" s="224" t="str">
        <f>+C.2!C19</f>
        <v>Storage O&amp;M Expense</v>
      </c>
      <c r="D18" s="10">
        <f>+C.2!O19</f>
        <v>352206.13597625424</v>
      </c>
      <c r="E18" s="10"/>
      <c r="F18" s="2" t="s">
        <v>1116</v>
      </c>
      <c r="G18" s="10"/>
      <c r="H18" s="10">
        <f>(D18*0.125)</f>
        <v>44025.76699703178</v>
      </c>
      <c r="I18" s="10"/>
      <c r="K18" s="10"/>
    </row>
    <row r="19" spans="1:11">
      <c r="A19" s="77"/>
      <c r="B19" s="213"/>
      <c r="E19" s="10"/>
      <c r="H19" s="10"/>
      <c r="I19" s="10"/>
      <c r="K19" s="10"/>
    </row>
    <row r="20" spans="1:11">
      <c r="A20" s="77">
        <f>1+A18</f>
        <v>4</v>
      </c>
      <c r="B20" s="224" t="str">
        <f>+C.2!C20</f>
        <v>Transmission O&amp;M Expense</v>
      </c>
      <c r="D20" s="10">
        <f>+C.2!O20</f>
        <v>353154.68540511443</v>
      </c>
      <c r="E20" s="10"/>
      <c r="F20" s="2" t="s">
        <v>1116</v>
      </c>
      <c r="G20" s="10"/>
      <c r="H20" s="10">
        <f>(D20*0.125)</f>
        <v>44144.335675639304</v>
      </c>
      <c r="K20" s="10"/>
    </row>
    <row r="21" spans="1:11">
      <c r="A21" s="77"/>
      <c r="B21" s="213"/>
      <c r="E21" s="10"/>
      <c r="F21" s="11"/>
      <c r="G21" s="10"/>
      <c r="H21" s="10"/>
      <c r="I21" s="10"/>
      <c r="K21" s="10"/>
    </row>
    <row r="22" spans="1:11">
      <c r="A22" s="77">
        <f>1+A20</f>
        <v>5</v>
      </c>
      <c r="B22" s="224" t="str">
        <f>+C.2!C21</f>
        <v>Distribution O&amp;M Expense</v>
      </c>
      <c r="D22" s="10">
        <f>+C.2!O21</f>
        <v>7053730.91256891</v>
      </c>
      <c r="E22" s="10"/>
      <c r="F22" s="2" t="s">
        <v>1116</v>
      </c>
      <c r="G22" s="10"/>
      <c r="H22" s="10">
        <f>(D22*0.125)</f>
        <v>881716.36407111376</v>
      </c>
      <c r="I22" s="10"/>
      <c r="K22" s="10"/>
    </row>
    <row r="23" spans="1:11">
      <c r="A23" s="77"/>
      <c r="B23" s="213"/>
      <c r="E23" s="10"/>
      <c r="F23" s="11"/>
      <c r="G23" s="10"/>
      <c r="H23" s="10"/>
      <c r="I23" s="10"/>
      <c r="K23" s="10"/>
    </row>
    <row r="24" spans="1:11">
      <c r="A24" s="77">
        <f>1+A22</f>
        <v>6</v>
      </c>
      <c r="B24" s="213" t="str">
        <f>+C.2!C22</f>
        <v>Customer Accting. &amp; Collection</v>
      </c>
      <c r="D24" s="1">
        <f>+C.2!O22</f>
        <v>1820465.4112733356</v>
      </c>
      <c r="E24" s="10"/>
      <c r="F24" s="2" t="s">
        <v>1116</v>
      </c>
      <c r="G24" s="10"/>
      <c r="H24" s="10">
        <f>(D24*0.125)</f>
        <v>227558.17640916695</v>
      </c>
      <c r="I24" s="10"/>
      <c r="K24" s="10"/>
    </row>
    <row r="25" spans="1:11">
      <c r="A25" s="77"/>
      <c r="B25" s="213"/>
      <c r="E25" s="10"/>
      <c r="F25" s="11"/>
      <c r="G25" s="10"/>
      <c r="H25" s="10"/>
      <c r="I25" s="10"/>
      <c r="K25" s="10"/>
    </row>
    <row r="26" spans="1:11">
      <c r="A26" s="77">
        <f>1+A24</f>
        <v>7</v>
      </c>
      <c r="B26" s="224" t="str">
        <f>+C.2!C23</f>
        <v>Customer Service &amp; Information</v>
      </c>
      <c r="D26" s="10">
        <f>+C.2!O23</f>
        <v>123156.62719669974</v>
      </c>
      <c r="E26" s="10"/>
      <c r="F26" s="2" t="s">
        <v>1116</v>
      </c>
      <c r="G26" s="10"/>
      <c r="H26" s="10">
        <f>(D26*0.125)</f>
        <v>15394.578399587468</v>
      </c>
      <c r="I26" s="10"/>
      <c r="K26" s="10"/>
    </row>
    <row r="27" spans="1:11">
      <c r="A27" s="77"/>
      <c r="B27" s="213"/>
      <c r="D27" s="10"/>
      <c r="E27" s="10"/>
      <c r="F27" s="11"/>
      <c r="G27" s="10"/>
      <c r="H27" s="10"/>
      <c r="I27" s="10"/>
      <c r="K27" s="10"/>
    </row>
    <row r="28" spans="1:11">
      <c r="A28" s="77">
        <f>1+A26</f>
        <v>8</v>
      </c>
      <c r="B28" s="224" t="str">
        <f>+C.2!C24</f>
        <v>Sales Expense</v>
      </c>
      <c r="D28" s="10">
        <f>+C.2!O24</f>
        <v>283556.94409906131</v>
      </c>
      <c r="E28" s="10"/>
      <c r="F28" s="2" t="s">
        <v>1116</v>
      </c>
      <c r="G28" s="10"/>
      <c r="H28" s="10">
        <f>(D28*0.125)</f>
        <v>35444.618012382663</v>
      </c>
      <c r="I28" s="10"/>
      <c r="K28" s="10"/>
    </row>
    <row r="29" spans="1:11">
      <c r="A29" s="77"/>
      <c r="B29" s="213"/>
      <c r="D29" s="10"/>
      <c r="E29" s="10"/>
      <c r="F29" s="11"/>
      <c r="G29" s="10"/>
      <c r="H29" s="10"/>
      <c r="I29" s="10"/>
      <c r="K29" s="10"/>
    </row>
    <row r="30" spans="1:11">
      <c r="A30" s="77">
        <f>1+A28</f>
        <v>9</v>
      </c>
      <c r="B30" s="224" t="str">
        <f>+C.2!C25</f>
        <v>Admin. &amp; General Expense</v>
      </c>
      <c r="D30" s="18">
        <f>+C.2!O25</f>
        <v>15488214.345657276</v>
      </c>
      <c r="E30" s="10"/>
      <c r="F30" s="2" t="s">
        <v>1116</v>
      </c>
      <c r="G30" s="10"/>
      <c r="H30" s="18">
        <f>(D30*0.125)</f>
        <v>1936026.7932071595</v>
      </c>
      <c r="I30" s="10"/>
      <c r="K30" s="10"/>
    </row>
    <row r="31" spans="1:11">
      <c r="A31" s="77"/>
      <c r="D31" s="10"/>
      <c r="E31" s="10"/>
      <c r="F31" s="11"/>
      <c r="G31" s="10"/>
      <c r="H31" s="10"/>
      <c r="I31" s="10"/>
      <c r="K31" s="10"/>
    </row>
    <row r="32" spans="1:11" ht="15.75" thickBot="1">
      <c r="A32" s="77">
        <f>1+A30</f>
        <v>10</v>
      </c>
      <c r="B32" s="4" t="s">
        <v>139</v>
      </c>
      <c r="C32" s="107"/>
      <c r="D32" s="388">
        <f>SUM(D16:D30)</f>
        <v>25474588.783307165</v>
      </c>
      <c r="E32" s="10"/>
      <c r="G32" s="107"/>
      <c r="H32" s="388">
        <f>+D32*0.125</f>
        <v>3184323.5979133956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99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6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4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80" zoomScaleNormal="70" zoomScaleSheetLayoutView="80" workbookViewId="0">
      <pane ySplit="11" topLeftCell="A18" activePane="bottomLeft" state="frozen"/>
      <selection activeCell="B6" sqref="B6"/>
      <selection pane="bottomLeft" activeCell="K55" sqref="K55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77" bestFit="1" customWidth="1"/>
    <col min="6" max="6" width="11.77734375" style="77" customWidth="1"/>
    <col min="7" max="7" width="12.44140625" style="1" bestFit="1" customWidth="1"/>
    <col min="8" max="8" width="4.33203125" style="100" customWidth="1"/>
    <col min="9" max="9" width="13.109375" style="1" customWidth="1"/>
    <col min="10" max="11" width="11.88671875" style="77" customWidth="1"/>
    <col min="12" max="12" width="14.77734375" style="1" bestFit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B'!A4</f>
        <v>as of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G5" s="40"/>
      <c r="H5" s="486"/>
      <c r="I5" s="40"/>
    </row>
    <row r="6" spans="1:12" ht="15.75">
      <c r="A6" s="70" t="s">
        <v>805</v>
      </c>
      <c r="B6" s="70"/>
      <c r="C6" s="47"/>
      <c r="D6" s="772"/>
      <c r="L6" s="1" t="s">
        <v>1518</v>
      </c>
    </row>
    <row r="7" spans="1:12">
      <c r="A7" s="70" t="s">
        <v>1142</v>
      </c>
      <c r="B7" s="47"/>
      <c r="C7" s="70"/>
      <c r="L7" s="1" t="s">
        <v>724</v>
      </c>
    </row>
    <row r="8" spans="1:12">
      <c r="A8" s="70" t="s">
        <v>440</v>
      </c>
      <c r="B8" s="47"/>
      <c r="C8" s="47"/>
      <c r="D8" s="47"/>
      <c r="E8" s="299"/>
      <c r="F8" s="299"/>
      <c r="G8" s="47"/>
      <c r="I8" s="47"/>
      <c r="J8" s="299"/>
      <c r="K8" s="299"/>
      <c r="L8" s="47" t="str">
        <f>'B.1 B'!F8</f>
        <v>Witness:   Waller</v>
      </c>
    </row>
    <row r="9" spans="1:12">
      <c r="A9" s="326"/>
      <c r="B9" s="85"/>
      <c r="C9" s="85"/>
      <c r="D9" s="641"/>
      <c r="E9" s="439" t="s">
        <v>13</v>
      </c>
      <c r="F9" s="440" t="s">
        <v>11</v>
      </c>
      <c r="G9" s="642" t="s">
        <v>102</v>
      </c>
      <c r="H9" s="101"/>
      <c r="I9" s="644"/>
      <c r="J9" s="439" t="s">
        <v>13</v>
      </c>
      <c r="K9" s="440" t="s">
        <v>11</v>
      </c>
      <c r="L9" s="507"/>
    </row>
    <row r="10" spans="1:12">
      <c r="A10" s="435" t="s">
        <v>98</v>
      </c>
      <c r="B10" s="46"/>
      <c r="C10" s="47"/>
      <c r="D10" s="436"/>
      <c r="E10" s="46" t="s">
        <v>14</v>
      </c>
      <c r="F10" s="101" t="s">
        <v>610</v>
      </c>
      <c r="G10" s="432" t="s">
        <v>1187</v>
      </c>
      <c r="H10" s="101"/>
      <c r="I10" s="435" t="s">
        <v>97</v>
      </c>
      <c r="J10" s="46" t="s">
        <v>14</v>
      </c>
      <c r="K10" s="101" t="s">
        <v>610</v>
      </c>
      <c r="L10" s="645" t="s">
        <v>12</v>
      </c>
    </row>
    <row r="11" spans="1:12">
      <c r="A11" s="433" t="s">
        <v>104</v>
      </c>
      <c r="B11" s="44"/>
      <c r="C11" s="80" t="s">
        <v>347</v>
      </c>
      <c r="D11" s="643" t="s">
        <v>1076</v>
      </c>
      <c r="E11" s="257" t="s">
        <v>643</v>
      </c>
      <c r="F11" s="257" t="s">
        <v>643</v>
      </c>
      <c r="G11" s="434" t="s">
        <v>110</v>
      </c>
      <c r="H11" s="101"/>
      <c r="I11" s="433" t="s">
        <v>103</v>
      </c>
      <c r="J11" s="257" t="s">
        <v>643</v>
      </c>
      <c r="K11" s="257" t="s">
        <v>643</v>
      </c>
      <c r="L11" s="646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C13" s="17" t="s">
        <v>790</v>
      </c>
      <c r="D13" s="386">
        <f>'WP B.5 B'!P13</f>
        <v>1904270.3399999999</v>
      </c>
      <c r="E13" s="637">
        <v>1</v>
      </c>
      <c r="F13" s="637">
        <v>1</v>
      </c>
      <c r="G13" s="386">
        <f>D13*E13*F13</f>
        <v>1904270.3399999999</v>
      </c>
      <c r="H13" s="103"/>
      <c r="I13" s="386">
        <f>'WP B.5 B'!Q13</f>
        <v>1904270.34</v>
      </c>
      <c r="J13" s="637">
        <v>1</v>
      </c>
      <c r="K13" s="637">
        <v>1</v>
      </c>
      <c r="L13" s="386">
        <f>I13*J13*K13</f>
        <v>1904270.34</v>
      </c>
    </row>
    <row r="14" spans="1:12" ht="14.25" customHeight="1">
      <c r="A14" s="2">
        <v>2</v>
      </c>
      <c r="B14" s="489"/>
      <c r="C14" s="4"/>
      <c r="D14" s="103"/>
      <c r="E14" s="637"/>
      <c r="F14" s="637"/>
      <c r="G14" s="103"/>
      <c r="H14" s="103"/>
      <c r="I14" s="103"/>
      <c r="J14" s="639"/>
      <c r="K14" s="639"/>
      <c r="L14" s="103"/>
    </row>
    <row r="15" spans="1:12">
      <c r="A15" s="2">
        <v>3</v>
      </c>
      <c r="C15" s="17" t="s">
        <v>690</v>
      </c>
      <c r="D15" s="99">
        <f>'WP B.5 B'!P15</f>
        <v>-82754429.15566054</v>
      </c>
      <c r="E15" s="637">
        <f>$E$13</f>
        <v>1</v>
      </c>
      <c r="F15" s="637">
        <f>$E$13</f>
        <v>1</v>
      </c>
      <c r="G15" s="99">
        <f>D15*E15*F15</f>
        <v>-82754429.15566054</v>
      </c>
      <c r="H15" s="103"/>
      <c r="I15" s="99">
        <f>'WP B.5 B'!Q15</f>
        <v>-74923395.22517401</v>
      </c>
      <c r="J15" s="637">
        <f>$E$13</f>
        <v>1</v>
      </c>
      <c r="K15" s="637">
        <f>$E$13</f>
        <v>1</v>
      </c>
      <c r="L15" s="99">
        <f>I15*J15*K15</f>
        <v>-74923395.22517401</v>
      </c>
    </row>
    <row r="16" spans="1:12" ht="14.25" customHeight="1">
      <c r="A16" s="2">
        <v>4</v>
      </c>
      <c r="B16" s="489"/>
      <c r="C16" s="4"/>
      <c r="D16" s="103"/>
      <c r="E16" s="637"/>
      <c r="F16" s="637"/>
      <c r="G16" s="103"/>
      <c r="H16" s="103"/>
      <c r="I16" s="103"/>
      <c r="J16" s="639"/>
      <c r="K16" s="639"/>
      <c r="L16" s="103"/>
    </row>
    <row r="17" spans="1:17">
      <c r="A17" s="2">
        <v>5</v>
      </c>
      <c r="C17" s="17" t="s">
        <v>691</v>
      </c>
      <c r="D17" s="99">
        <f>'WP B.5 B'!P17</f>
        <v>-96035.15</v>
      </c>
      <c r="E17" s="637">
        <f>$E$13</f>
        <v>1</v>
      </c>
      <c r="F17" s="637">
        <f>$E$13</f>
        <v>1</v>
      </c>
      <c r="G17" s="99">
        <f>D17*E17*F17</f>
        <v>-96035.15</v>
      </c>
      <c r="H17" s="103"/>
      <c r="I17" s="99">
        <f>'WP B.5 B'!Q17</f>
        <v>-569317.31153846171</v>
      </c>
      <c r="J17" s="637">
        <f>$E$13</f>
        <v>1</v>
      </c>
      <c r="K17" s="637">
        <f>$E$13</f>
        <v>1</v>
      </c>
      <c r="L17" s="99">
        <f>I17*J17*K17</f>
        <v>-569317.31153846171</v>
      </c>
    </row>
    <row r="18" spans="1:17" ht="14.25" customHeight="1">
      <c r="A18" s="2">
        <v>6</v>
      </c>
      <c r="B18" s="489"/>
      <c r="C18" s="4"/>
      <c r="D18" s="103"/>
      <c r="E18" s="24"/>
      <c r="F18" s="24"/>
      <c r="G18" s="103"/>
      <c r="H18" s="103"/>
      <c r="I18" s="103"/>
      <c r="J18" s="102"/>
      <c r="K18" s="102"/>
      <c r="L18" s="103"/>
    </row>
    <row r="19" spans="1:17">
      <c r="A19" s="2">
        <v>7</v>
      </c>
      <c r="C19" s="26" t="s">
        <v>31</v>
      </c>
      <c r="D19" s="755">
        <f>SUM(D13:D17)</f>
        <v>-80946193.965660542</v>
      </c>
      <c r="E19" s="24"/>
      <c r="F19" s="24"/>
      <c r="G19" s="755">
        <f>SUM(G13:G17)</f>
        <v>-80946193.965660542</v>
      </c>
      <c r="I19" s="755">
        <f>SUM(I13:I17)</f>
        <v>-73588442.196712464</v>
      </c>
      <c r="J19" s="299"/>
      <c r="K19" s="299"/>
      <c r="L19" s="755">
        <f>SUM(L13:L17)</f>
        <v>-73588442.196712464</v>
      </c>
    </row>
    <row r="20" spans="1:17" ht="14.25" customHeight="1">
      <c r="A20" s="2">
        <v>8</v>
      </c>
      <c r="B20" s="489"/>
      <c r="C20" s="4"/>
      <c r="D20" s="103"/>
      <c r="E20" s="24"/>
      <c r="F20" s="24"/>
      <c r="G20" s="103"/>
      <c r="H20" s="103"/>
      <c r="I20" s="103"/>
      <c r="J20" s="102"/>
      <c r="K20" s="102"/>
      <c r="L20" s="103"/>
    </row>
    <row r="21" spans="1:17" ht="15.75">
      <c r="A21" s="2">
        <v>9</v>
      </c>
      <c r="B21" s="12" t="s">
        <v>219</v>
      </c>
    </row>
    <row r="22" spans="1:17">
      <c r="A22" s="2">
        <v>10</v>
      </c>
      <c r="C22" s="17" t="s">
        <v>689</v>
      </c>
      <c r="D22" s="386">
        <f>'WP B.5 B'!P22</f>
        <v>484045051.19999999</v>
      </c>
      <c r="E22" s="526">
        <f>Allocation!G14</f>
        <v>0.1071</v>
      </c>
      <c r="F22" s="526">
        <f>Allocation!H14</f>
        <v>0.49090457251500325</v>
      </c>
      <c r="G22" s="386">
        <f>D22*E22*F22</f>
        <v>25449094.389188994</v>
      </c>
      <c r="H22" s="103"/>
      <c r="I22" s="386">
        <f>'WP B.5 B'!Q22</f>
        <v>492695832.51833063</v>
      </c>
      <c r="J22" s="571">
        <f>E22</f>
        <v>0.1071</v>
      </c>
      <c r="K22" s="571">
        <f>F22</f>
        <v>0.49090457251500325</v>
      </c>
      <c r="L22" s="386">
        <f>I22*J22*K22</f>
        <v>25903916.827234052</v>
      </c>
      <c r="P22" s="1097">
        <f>E22*F22</f>
        <v>5.2575879716356848E-2</v>
      </c>
      <c r="Q22" s="1097">
        <f>J22*K22</f>
        <v>5.2575879716356848E-2</v>
      </c>
    </row>
    <row r="23" spans="1:17" ht="14.25" customHeight="1">
      <c r="A23" s="2">
        <v>11</v>
      </c>
      <c r="B23" s="489"/>
      <c r="C23" s="4"/>
      <c r="D23" s="103"/>
      <c r="E23" s="24"/>
      <c r="F23" s="24"/>
      <c r="G23" s="103"/>
      <c r="H23" s="103"/>
      <c r="I23" s="103"/>
      <c r="J23" s="102"/>
      <c r="K23" s="102"/>
      <c r="L23" s="103"/>
      <c r="P23" s="1097"/>
      <c r="Q23" s="1098"/>
    </row>
    <row r="24" spans="1:17">
      <c r="A24" s="2">
        <v>12</v>
      </c>
      <c r="C24" s="17" t="s">
        <v>690</v>
      </c>
      <c r="D24" s="99">
        <f>'WP B.5 B'!P24</f>
        <v>-26896374.648054112</v>
      </c>
      <c r="E24" s="526">
        <f>$E$22</f>
        <v>0.1071</v>
      </c>
      <c r="F24" s="526">
        <f>$F$22</f>
        <v>0.49090457251500325</v>
      </c>
      <c r="G24" s="99">
        <f>D24*E24*F24</f>
        <v>-1414100.5583021629</v>
      </c>
      <c r="H24" s="103"/>
      <c r="I24" s="99">
        <f>'WP B.5 B'!Q24</f>
        <v>-29402521.110071532</v>
      </c>
      <c r="J24" s="571">
        <f>E24</f>
        <v>0.1071</v>
      </c>
      <c r="K24" s="571">
        <f>F24</f>
        <v>0.49090457251500325</v>
      </c>
      <c r="L24" s="99">
        <f>I24*J24*K24</f>
        <v>-1545863.4132407641</v>
      </c>
      <c r="P24" s="1097">
        <f>E24*F24</f>
        <v>5.2575879716356848E-2</v>
      </c>
      <c r="Q24" s="1097">
        <f>J24*K24</f>
        <v>5.2575879716356848E-2</v>
      </c>
    </row>
    <row r="25" spans="1:17" ht="14.25" customHeight="1">
      <c r="A25" s="2">
        <v>13</v>
      </c>
      <c r="B25" s="489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P25" s="1097"/>
      <c r="Q25" s="1098"/>
    </row>
    <row r="26" spans="1:17">
      <c r="A26" s="2">
        <v>14</v>
      </c>
      <c r="C26" s="17" t="s">
        <v>691</v>
      </c>
      <c r="D26" s="99">
        <f>'WP B.5 B'!P26</f>
        <v>22822184.905000001</v>
      </c>
      <c r="E26" s="526">
        <f>$E$22</f>
        <v>0.1071</v>
      </c>
      <c r="F26" s="526">
        <f>$F$22</f>
        <v>0.49090457251500325</v>
      </c>
      <c r="G26" s="99">
        <f>D26*E26*F26</f>
        <v>1199896.4484297349</v>
      </c>
      <c r="H26" s="103"/>
      <c r="I26" s="99">
        <f>'WP B.5 B'!Q26</f>
        <v>22545786.587692305</v>
      </c>
      <c r="J26" s="571">
        <f>E26</f>
        <v>0.1071</v>
      </c>
      <c r="K26" s="571">
        <f>F26</f>
        <v>0.49090457251500325</v>
      </c>
      <c r="L26" s="99">
        <f>I26*J26*K26</f>
        <v>1185364.5637451622</v>
      </c>
      <c r="P26" s="1097">
        <f>E26*F26</f>
        <v>5.2575879716356848E-2</v>
      </c>
      <c r="Q26" s="1097">
        <f>J26*K26</f>
        <v>5.2575879716356848E-2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40"/>
      <c r="K27" s="640"/>
      <c r="L27" s="99"/>
      <c r="P27" s="1098"/>
      <c r="Q27" s="1098"/>
    </row>
    <row r="28" spans="1:17">
      <c r="A28" s="2">
        <v>16</v>
      </c>
      <c r="C28" s="26" t="s">
        <v>73</v>
      </c>
      <c r="D28" s="755">
        <f>SUM(D22:D26)</f>
        <v>479970861.4569459</v>
      </c>
      <c r="E28" s="24"/>
      <c r="F28" s="24"/>
      <c r="G28" s="755">
        <f>SUM(G22:G26)</f>
        <v>25234890.279316563</v>
      </c>
      <c r="I28" s="755">
        <f>SUM(I22:I26)</f>
        <v>485839097.99595141</v>
      </c>
      <c r="J28" s="102"/>
      <c r="K28" s="102"/>
      <c r="L28" s="755">
        <f>SUM(L22:L26)</f>
        <v>25543417.977738451</v>
      </c>
      <c r="P28" s="1098"/>
      <c r="Q28" s="1098"/>
    </row>
    <row r="29" spans="1:17" ht="15.75">
      <c r="A29" s="2">
        <v>17</v>
      </c>
      <c r="B29" s="12" t="s">
        <v>1137</v>
      </c>
      <c r="P29" s="1098"/>
      <c r="Q29" s="1098"/>
    </row>
    <row r="30" spans="1:17">
      <c r="A30" s="2">
        <v>18</v>
      </c>
      <c r="C30" s="17" t="s">
        <v>689</v>
      </c>
      <c r="D30" s="386">
        <f>'WP B.5 B'!P30</f>
        <v>-410946.2</v>
      </c>
      <c r="E30" s="526">
        <f>Allocation!G15</f>
        <v>0.1086</v>
      </c>
      <c r="F30" s="526">
        <f>Allocation!H15</f>
        <v>0.52599015110063552</v>
      </c>
      <c r="G30" s="386">
        <f>D30*E30*F30</f>
        <v>-23474.286806180397</v>
      </c>
      <c r="H30" s="103"/>
      <c r="I30" s="386">
        <f>'WP B.5 B'!Q30</f>
        <v>-410946.20000000013</v>
      </c>
      <c r="J30" s="571">
        <f>E30</f>
        <v>0.1086</v>
      </c>
      <c r="K30" s="571">
        <f>F30</f>
        <v>0.52599015110063552</v>
      </c>
      <c r="L30" s="386">
        <f>I30*J30*K30</f>
        <v>-23474.2868061804</v>
      </c>
      <c r="P30" s="1097">
        <f>E30*F30</f>
        <v>5.712253040952902E-2</v>
      </c>
      <c r="Q30" s="1097">
        <f>J30*K30</f>
        <v>5.712253040952902E-2</v>
      </c>
    </row>
    <row r="31" spans="1:17">
      <c r="A31" s="2">
        <v>19</v>
      </c>
      <c r="D31" s="99"/>
      <c r="E31" s="24"/>
      <c r="F31" s="24"/>
      <c r="G31" s="99"/>
      <c r="H31" s="103"/>
      <c r="I31" s="99"/>
      <c r="J31" s="640"/>
      <c r="K31" s="640"/>
      <c r="L31" s="99"/>
      <c r="P31" s="1097"/>
      <c r="Q31" s="1098"/>
    </row>
    <row r="32" spans="1:17">
      <c r="A32" s="2">
        <v>20</v>
      </c>
      <c r="C32" s="17" t="s">
        <v>690</v>
      </c>
      <c r="D32" s="99">
        <f>'WP B.5 B'!P32</f>
        <v>-29890316.218740851</v>
      </c>
      <c r="E32" s="526">
        <f>$E$30</f>
        <v>0.1086</v>
      </c>
      <c r="F32" s="526">
        <f>$F$30</f>
        <v>0.52599015110063552</v>
      </c>
      <c r="G32" s="99">
        <f>D32*E32*F32</f>
        <v>-1707410.4971554626</v>
      </c>
      <c r="H32" s="103"/>
      <c r="I32" s="99">
        <f>'WP B.5 B'!Q32</f>
        <v>-30330787.272534434</v>
      </c>
      <c r="J32" s="571">
        <f>E32</f>
        <v>0.1086</v>
      </c>
      <c r="K32" s="571">
        <f>F32</f>
        <v>0.52599015110063552</v>
      </c>
      <c r="L32" s="99">
        <f>I32*J32*K32</f>
        <v>-1732571.3183203039</v>
      </c>
      <c r="P32" s="1097">
        <f>E32*F32</f>
        <v>5.712253040952902E-2</v>
      </c>
      <c r="Q32" s="1097">
        <f>J32*K32</f>
        <v>5.712253040952902E-2</v>
      </c>
    </row>
    <row r="33" spans="1:17">
      <c r="A33" s="2">
        <v>21</v>
      </c>
      <c r="B33" s="489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P33" s="1097"/>
      <c r="Q33" s="1098"/>
    </row>
    <row r="34" spans="1:17">
      <c r="A34" s="2">
        <v>22</v>
      </c>
      <c r="C34" s="17" t="s">
        <v>691</v>
      </c>
      <c r="D34" s="99">
        <f>'WP B.5 B'!P34</f>
        <v>0</v>
      </c>
      <c r="E34" s="526">
        <f>$E$30</f>
        <v>0.1086</v>
      </c>
      <c r="F34" s="526">
        <f>$F$30</f>
        <v>0.52599015110063552</v>
      </c>
      <c r="G34" s="99">
        <f>D34*E34*F34</f>
        <v>0</v>
      </c>
      <c r="H34" s="103"/>
      <c r="I34" s="99">
        <f>'WP B.5 B'!Q34</f>
        <v>0</v>
      </c>
      <c r="J34" s="571">
        <f>E34</f>
        <v>0.1086</v>
      </c>
      <c r="K34" s="571">
        <f>F34</f>
        <v>0.52599015110063552</v>
      </c>
      <c r="L34" s="99">
        <f>I34*J34*K34</f>
        <v>0</v>
      </c>
      <c r="P34" s="1097">
        <f>E34*F34</f>
        <v>5.712253040952902E-2</v>
      </c>
      <c r="Q34" s="1097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40"/>
      <c r="K35" s="640"/>
      <c r="L35" s="99"/>
      <c r="P35" s="1098"/>
      <c r="Q35" s="1098"/>
    </row>
    <row r="36" spans="1:17">
      <c r="A36" s="2">
        <v>24</v>
      </c>
      <c r="C36" s="26" t="s">
        <v>735</v>
      </c>
      <c r="D36" s="755">
        <f>SUM(D30:D34)</f>
        <v>-30301262.41874085</v>
      </c>
      <c r="E36" s="24"/>
      <c r="F36" s="24"/>
      <c r="G36" s="755">
        <f>SUM(G30:G34)</f>
        <v>-1730884.783961643</v>
      </c>
      <c r="I36" s="755">
        <f>SUM(I30:I34)</f>
        <v>-30741733.472534433</v>
      </c>
      <c r="J36" s="102"/>
      <c r="K36" s="102"/>
      <c r="L36" s="755">
        <f>SUM(L30:L34)</f>
        <v>-1756045.6051264843</v>
      </c>
      <c r="P36" s="1098"/>
      <c r="Q36" s="1098"/>
    </row>
    <row r="37" spans="1:17" ht="15.75">
      <c r="A37" s="2">
        <v>25</v>
      </c>
      <c r="B37" s="12" t="s">
        <v>692</v>
      </c>
      <c r="P37" s="1098"/>
      <c r="Q37" s="1098"/>
    </row>
    <row r="38" spans="1:17" ht="15.75">
      <c r="A38" s="2">
        <v>26</v>
      </c>
      <c r="B38" s="12"/>
      <c r="P38" s="1098"/>
      <c r="Q38" s="1098"/>
    </row>
    <row r="39" spans="1:17">
      <c r="A39" s="2">
        <v>27</v>
      </c>
      <c r="C39" s="17" t="s">
        <v>689</v>
      </c>
      <c r="D39" s="386">
        <f>'WP B.5 B'!P39</f>
        <v>6664194.4000000004</v>
      </c>
      <c r="E39" s="638">
        <v>1</v>
      </c>
      <c r="F39" s="526">
        <f>Allocation!H17</f>
        <v>0.49090457251500325</v>
      </c>
      <c r="G39" s="386">
        <f>D39*$E$39*F39</f>
        <v>3271483.5030888789</v>
      </c>
      <c r="H39" s="103"/>
      <c r="I39" s="386">
        <f>'WP B.5 B'!Q39</f>
        <v>6900015.8653846169</v>
      </c>
      <c r="J39" s="638">
        <f>E39</f>
        <v>1</v>
      </c>
      <c r="K39" s="526">
        <f>F39</f>
        <v>0.49090457251500325</v>
      </c>
      <c r="L39" s="386">
        <f>I39*$E$39*K39</f>
        <v>3387249.3387433756</v>
      </c>
      <c r="P39" s="1097">
        <f>E39*F39</f>
        <v>0.49090457251500325</v>
      </c>
      <c r="Q39" s="1097">
        <f>J39*K39</f>
        <v>0.49090457251500325</v>
      </c>
    </row>
    <row r="40" spans="1:17">
      <c r="A40" s="2">
        <v>28</v>
      </c>
      <c r="D40" s="99"/>
      <c r="E40" s="24"/>
      <c r="F40" s="24"/>
      <c r="G40" s="99"/>
      <c r="H40" s="103"/>
      <c r="I40" s="99"/>
      <c r="J40" s="640"/>
      <c r="K40" s="640"/>
      <c r="L40" s="99"/>
      <c r="P40" s="1097"/>
      <c r="Q40" s="1098"/>
    </row>
    <row r="41" spans="1:17">
      <c r="A41" s="2">
        <v>29</v>
      </c>
      <c r="C41" s="17" t="s">
        <v>453</v>
      </c>
      <c r="D41" s="99">
        <f>'WP B.5 B'!P45</f>
        <v>-11421</v>
      </c>
      <c r="E41" s="638">
        <f>$E$39</f>
        <v>1</v>
      </c>
      <c r="F41" s="526">
        <f>$F$39</f>
        <v>0.49090457251500325</v>
      </c>
      <c r="G41" s="99">
        <f>D41*E41*F41</f>
        <v>-5606.6211226938522</v>
      </c>
      <c r="H41" s="103"/>
      <c r="I41" s="99">
        <f>'WP B.5 B'!Q45</f>
        <v>-11421</v>
      </c>
      <c r="J41" s="638">
        <f>E41</f>
        <v>1</v>
      </c>
      <c r="K41" s="526">
        <f>F41</f>
        <v>0.49090457251500325</v>
      </c>
      <c r="L41" s="99">
        <f>I41*J41*K41</f>
        <v>-5606.6211226938522</v>
      </c>
      <c r="P41" s="1097">
        <f>E41*F41</f>
        <v>0.49090457251500325</v>
      </c>
      <c r="Q41" s="1097">
        <f>J41*K41</f>
        <v>0.49090457251500325</v>
      </c>
    </row>
    <row r="42" spans="1:17">
      <c r="A42" s="2">
        <v>30</v>
      </c>
      <c r="D42" s="99"/>
      <c r="E42" s="24"/>
      <c r="F42" s="24"/>
      <c r="G42" s="99"/>
      <c r="H42" s="103"/>
      <c r="I42" s="99"/>
      <c r="J42" s="640"/>
      <c r="K42" s="640"/>
      <c r="L42" s="99"/>
      <c r="P42" s="1097"/>
      <c r="Q42" s="1098"/>
    </row>
    <row r="43" spans="1:17">
      <c r="A43" s="2">
        <v>31</v>
      </c>
      <c r="C43" s="17" t="s">
        <v>690</v>
      </c>
      <c r="D43" s="99">
        <f>'WP B.5 B'!P41</f>
        <v>-5437120.9261673987</v>
      </c>
      <c r="E43" s="638">
        <f>$E$39</f>
        <v>1</v>
      </c>
      <c r="F43" s="526">
        <f>$F$39</f>
        <v>0.49090457251500325</v>
      </c>
      <c r="G43" s="99">
        <f>D43*$E$39*F43</f>
        <v>-2669107.5239725853</v>
      </c>
      <c r="H43" s="103"/>
      <c r="I43" s="99">
        <f>'WP B.5 B'!Q41</f>
        <v>-6345171.0467872582</v>
      </c>
      <c r="J43" s="638">
        <f>E43</f>
        <v>1</v>
      </c>
      <c r="K43" s="526">
        <f>F43</f>
        <v>0.49090457251500325</v>
      </c>
      <c r="L43" s="99">
        <f>I43*$E$39*K43</f>
        <v>-3114873.4802576746</v>
      </c>
      <c r="P43" s="1097">
        <f>E43*F43</f>
        <v>0.49090457251500325</v>
      </c>
      <c r="Q43" s="1097">
        <f>J43*K43</f>
        <v>0.49090457251500325</v>
      </c>
    </row>
    <row r="44" spans="1:17">
      <c r="A44" s="2">
        <v>32</v>
      </c>
      <c r="D44" s="99"/>
      <c r="E44" s="24"/>
      <c r="F44" s="24"/>
      <c r="G44" s="99"/>
      <c r="H44" s="103"/>
      <c r="I44" s="99"/>
      <c r="J44" s="640"/>
      <c r="K44" s="640"/>
      <c r="L44" s="99"/>
      <c r="P44" s="1098"/>
      <c r="Q44" s="1098"/>
    </row>
    <row r="45" spans="1:17">
      <c r="A45" s="2">
        <v>33</v>
      </c>
      <c r="C45" s="17" t="s">
        <v>691</v>
      </c>
      <c r="D45" s="99">
        <f>'WP B.5 B'!P43</f>
        <v>-1472160.1949999998</v>
      </c>
      <c r="E45" s="638">
        <f>$E$39</f>
        <v>1</v>
      </c>
      <c r="F45" s="526">
        <f>$F$39</f>
        <v>0.49090457251500325</v>
      </c>
      <c r="G45" s="99">
        <f>D45*$E$39*F45</f>
        <v>-722690.17120007868</v>
      </c>
      <c r="H45" s="103"/>
      <c r="I45" s="99">
        <f>'WP B.5 B'!Q43</f>
        <v>-1586034.3546153849</v>
      </c>
      <c r="J45" s="638">
        <f>E45</f>
        <v>1</v>
      </c>
      <c r="K45" s="526">
        <f>F45</f>
        <v>0.49090457251500325</v>
      </c>
      <c r="L45" s="99">
        <f>I45*$E$39*K45</f>
        <v>-778591.51684657461</v>
      </c>
      <c r="P45" s="1097">
        <f>E45*F45</f>
        <v>0.49090457251500325</v>
      </c>
      <c r="Q45" s="1097">
        <f>J45*K45</f>
        <v>0.49090457251500325</v>
      </c>
    </row>
    <row r="46" spans="1:17">
      <c r="A46" s="2">
        <v>34</v>
      </c>
      <c r="D46" s="99"/>
      <c r="E46" s="24"/>
      <c r="F46" s="24"/>
      <c r="G46" s="99"/>
      <c r="H46" s="103"/>
      <c r="I46" s="99"/>
      <c r="J46" s="640"/>
      <c r="K46" s="640"/>
      <c r="L46" s="99"/>
    </row>
    <row r="47" spans="1:17">
      <c r="A47" s="2">
        <v>35</v>
      </c>
      <c r="C47" s="26" t="s">
        <v>452</v>
      </c>
      <c r="D47" s="755">
        <f>SUM(D39:D45)</f>
        <v>-256507.72116739815</v>
      </c>
      <c r="E47" s="24"/>
      <c r="F47" s="24"/>
      <c r="G47" s="755">
        <f>SUM(G39:G45)</f>
        <v>-125920.81320647872</v>
      </c>
      <c r="I47" s="755">
        <f>SUM(I39:I45)</f>
        <v>-1042610.5360180263</v>
      </c>
      <c r="J47" s="102"/>
      <c r="K47" s="102"/>
      <c r="L47" s="755">
        <f>SUM(L39:L45)</f>
        <v>-511822.27948356722</v>
      </c>
    </row>
    <row r="48" spans="1:17">
      <c r="A48" s="2">
        <v>36</v>
      </c>
    </row>
    <row r="49" spans="1:12" ht="16.5" thickBot="1">
      <c r="A49" s="2">
        <v>37</v>
      </c>
      <c r="B49" s="47"/>
      <c r="C49" s="688" t="s">
        <v>737</v>
      </c>
      <c r="D49" s="429">
        <f>D47+D36+D28+D19</f>
        <v>368466897.35137713</v>
      </c>
      <c r="G49" s="429">
        <f>G47+G36+G28+G19</f>
        <v>-57568109.283512101</v>
      </c>
      <c r="I49" s="429">
        <f>I47+I36+I28+I19</f>
        <v>380466311.79068649</v>
      </c>
      <c r="L49" s="429">
        <f>L47+L36+L28+L19</f>
        <v>-50312892.103584066</v>
      </c>
    </row>
    <row r="50" spans="1:12" ht="15.75" thickTop="1">
      <c r="A50" s="47"/>
      <c r="B50" s="47"/>
    </row>
    <row r="51" spans="1:12">
      <c r="A51" s="47"/>
      <c r="B51" s="47"/>
    </row>
    <row r="52" spans="1:12">
      <c r="A52" s="47"/>
      <c r="B52" s="47"/>
    </row>
    <row r="53" spans="1:12">
      <c r="A53" s="47"/>
      <c r="B53" s="47"/>
    </row>
    <row r="54" spans="1:12">
      <c r="A54" s="47"/>
      <c r="B54" s="47"/>
      <c r="E54" s="491"/>
    </row>
    <row r="55" spans="1:12">
      <c r="A55" s="47"/>
      <c r="B55" s="47"/>
    </row>
    <row r="56" spans="1:12">
      <c r="A56" s="47"/>
    </row>
    <row r="57" spans="1:12">
      <c r="A57" s="47"/>
      <c r="B57" s="47"/>
    </row>
    <row r="58" spans="1:12">
      <c r="A58" s="47"/>
      <c r="B58" s="47"/>
    </row>
    <row r="59" spans="1:12">
      <c r="A59" s="47"/>
      <c r="B59" s="47"/>
    </row>
    <row r="60" spans="1:12">
      <c r="A60" s="47"/>
      <c r="B60" s="47"/>
    </row>
    <row r="61" spans="1:12">
      <c r="A61" s="47"/>
      <c r="B61" s="47"/>
    </row>
    <row r="62" spans="1:12">
      <c r="A62" s="47"/>
      <c r="B62" s="47"/>
    </row>
    <row r="63" spans="1:12">
      <c r="A63" s="47"/>
      <c r="B63" s="47"/>
    </row>
    <row r="64" spans="1:12">
      <c r="A64" s="47"/>
      <c r="B64" s="47"/>
    </row>
    <row r="65" spans="1:2">
      <c r="A65" s="47"/>
      <c r="B65" s="47"/>
    </row>
    <row r="66" spans="1:2">
      <c r="A66" s="47"/>
      <c r="B66" s="47"/>
    </row>
    <row r="67" spans="1:2">
      <c r="A67" s="47"/>
      <c r="B67" s="47"/>
    </row>
    <row r="68" spans="1:2">
      <c r="A68" s="47"/>
      <c r="B68" s="47"/>
    </row>
    <row r="69" spans="1:2">
      <c r="A69" s="47"/>
      <c r="B69" s="47"/>
    </row>
    <row r="70" spans="1:2">
      <c r="A70" s="47"/>
      <c r="B70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5" top="0.75" bottom="0.3" header="0.5" footer="0.17"/>
  <pageSetup scale="63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0"/>
  <sheetViews>
    <sheetView view="pageBreakPreview" zoomScale="90" zoomScaleNormal="90" zoomScaleSheetLayoutView="90" workbookViewId="0">
      <selection activeCell="H24" sqref="H24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</row>
    <row r="2" spans="1:10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</row>
    <row r="3" spans="1:10">
      <c r="A3" s="1241" t="str">
        <f>'Table of Contents'!A3:C3</f>
        <v>Base Period: Twelve Months Ended February 29, 2016</v>
      </c>
      <c r="B3" s="1241"/>
      <c r="C3" s="1241"/>
      <c r="D3" s="1241"/>
      <c r="E3" s="1241"/>
      <c r="F3" s="1241"/>
      <c r="G3" s="1241"/>
      <c r="H3" s="1241"/>
      <c r="I3" s="1241"/>
    </row>
    <row r="4" spans="1:10">
      <c r="A4" s="1241" t="str">
        <f>'Table of Contents'!A4:C4</f>
        <v>Forecasted Test Period: Twelve Months Ended May 31, 2017</v>
      </c>
      <c r="B4" s="1241"/>
      <c r="C4" s="1241"/>
      <c r="D4" s="1241"/>
      <c r="E4" s="1241"/>
      <c r="F4" s="1241"/>
      <c r="G4" s="1241"/>
      <c r="H4" s="1241"/>
      <c r="I4" s="1241"/>
    </row>
    <row r="6" spans="1:10" ht="15.75">
      <c r="A6" s="1244" t="s">
        <v>1237</v>
      </c>
      <c r="B6" s="1244"/>
      <c r="C6" s="1244"/>
      <c r="D6" s="1244"/>
      <c r="E6" s="1244"/>
      <c r="F6" s="1244"/>
      <c r="G6" s="1244"/>
      <c r="H6" s="1244"/>
      <c r="I6" s="1244"/>
    </row>
    <row r="7" spans="1:10" ht="15.75">
      <c r="A7" s="788"/>
      <c r="B7" s="788"/>
      <c r="C7" s="788"/>
      <c r="D7" s="788"/>
      <c r="E7" s="788"/>
      <c r="F7" s="788"/>
      <c r="G7" s="788"/>
      <c r="H7" s="788"/>
      <c r="I7" s="788"/>
    </row>
    <row r="8" spans="1:10">
      <c r="C8" s="75"/>
      <c r="D8" s="793" t="s">
        <v>1238</v>
      </c>
      <c r="E8" s="75"/>
      <c r="G8" s="122"/>
      <c r="H8" s="793" t="s">
        <v>333</v>
      </c>
      <c r="I8" s="122"/>
    </row>
    <row r="9" spans="1:10">
      <c r="C9" s="409" t="s">
        <v>1239</v>
      </c>
      <c r="D9" s="409" t="s">
        <v>201</v>
      </c>
      <c r="E9" s="76" t="s">
        <v>11</v>
      </c>
      <c r="F9" s="787"/>
      <c r="G9" s="409" t="s">
        <v>1239</v>
      </c>
      <c r="H9" s="409" t="s">
        <v>201</v>
      </c>
      <c r="I9" s="787" t="s">
        <v>11</v>
      </c>
    </row>
    <row r="10" spans="1:10">
      <c r="A10" s="75" t="s">
        <v>209</v>
      </c>
      <c r="B10" s="84" t="s">
        <v>1004</v>
      </c>
      <c r="C10" s="408" t="s">
        <v>160</v>
      </c>
      <c r="D10" s="84" t="s">
        <v>610</v>
      </c>
      <c r="E10" s="84" t="s">
        <v>1165</v>
      </c>
      <c r="F10" s="91"/>
      <c r="G10" s="408" t="s">
        <v>160</v>
      </c>
      <c r="H10" s="84" t="s">
        <v>610</v>
      </c>
      <c r="I10" s="84" t="s">
        <v>1165</v>
      </c>
    </row>
    <row r="11" spans="1:10">
      <c r="A11" s="81"/>
      <c r="B11" s="81"/>
      <c r="C11" s="409"/>
      <c r="D11" s="409"/>
    </row>
    <row r="12" spans="1:10" ht="15.75">
      <c r="A12" s="81"/>
      <c r="B12" s="501" t="s">
        <v>1163</v>
      </c>
      <c r="C12" s="409"/>
      <c r="D12" s="409"/>
    </row>
    <row r="13" spans="1:10" ht="15.75">
      <c r="A13" s="76">
        <v>1</v>
      </c>
      <c r="B13" s="218" t="s">
        <v>204</v>
      </c>
      <c r="I13" s="422"/>
    </row>
    <row r="14" spans="1:10">
      <c r="A14" s="76">
        <f>A13+1</f>
        <v>2</v>
      </c>
      <c r="B14" s="500" t="s">
        <v>206</v>
      </c>
      <c r="C14" s="625">
        <f>'[1]3 Factor Composite FY15FINAL'!$Q$19</f>
        <v>0.1071</v>
      </c>
      <c r="D14" s="625">
        <f>'[1]Mid States FY14'!$J$10</f>
        <v>0.49090457251500325</v>
      </c>
      <c r="E14" s="625">
        <f>C14*D14</f>
        <v>5.2575879716356848E-2</v>
      </c>
      <c r="F14" s="625"/>
      <c r="G14" s="625">
        <f>'[1]3 Factor Composite FY15FINAL'!$Q$19</f>
        <v>0.1071</v>
      </c>
      <c r="H14" s="625">
        <f>'[1]Mid States FY14'!$J$10</f>
        <v>0.49090457251500325</v>
      </c>
      <c r="I14" s="422">
        <f>G14*H14</f>
        <v>5.2575879716356848E-2</v>
      </c>
      <c r="J14" s="771"/>
    </row>
    <row r="15" spans="1:10">
      <c r="A15" s="787">
        <f t="shared" ref="A15:A29" si="0">A14+1</f>
        <v>3</v>
      </c>
      <c r="B15" s="500" t="s">
        <v>207</v>
      </c>
      <c r="C15" s="625">
        <f>'[1]3 Factor Composite FY15FINAL'!$Q$16</f>
        <v>0.1086</v>
      </c>
      <c r="D15" s="625">
        <f>'[1]Mid States FY14'!$H$10</f>
        <v>0.52599015110063552</v>
      </c>
      <c r="E15" s="625">
        <f>C15*D15</f>
        <v>5.712253040952902E-2</v>
      </c>
      <c r="F15" s="625"/>
      <c r="G15" s="625">
        <f>'[1]3 Factor Composite FY15FINAL'!$Q$16</f>
        <v>0.1086</v>
      </c>
      <c r="H15" s="625">
        <f>'[1]Mid States FY14'!$H$10</f>
        <v>0.52599015110063552</v>
      </c>
      <c r="I15" s="422">
        <f>G15*H15</f>
        <v>5.712253040952902E-2</v>
      </c>
      <c r="J15" s="771"/>
    </row>
    <row r="16" spans="1:10" ht="15.75">
      <c r="A16" s="787">
        <f t="shared" si="0"/>
        <v>4</v>
      </c>
      <c r="B16" s="218" t="s">
        <v>205</v>
      </c>
      <c r="C16" s="1134"/>
      <c r="D16" s="1134"/>
      <c r="E16" s="625"/>
      <c r="F16" s="625"/>
      <c r="G16" s="1134"/>
      <c r="H16" s="1134"/>
      <c r="I16" s="422"/>
    </row>
    <row r="17" spans="1:10">
      <c r="A17" s="787">
        <f t="shared" si="0"/>
        <v>5</v>
      </c>
      <c r="B17" s="500" t="s">
        <v>208</v>
      </c>
      <c r="C17" s="623">
        <v>1</v>
      </c>
      <c r="D17" s="625">
        <f>'[1]Mid States FY14'!$J$10</f>
        <v>0.49090457251500325</v>
      </c>
      <c r="E17" s="625">
        <f>C17*D17</f>
        <v>0.49090457251500325</v>
      </c>
      <c r="F17" s="625"/>
      <c r="G17" s="623">
        <v>1</v>
      </c>
      <c r="H17" s="625">
        <f>'[1]Mid States FY14'!$J$10</f>
        <v>0.49090457251500325</v>
      </c>
      <c r="I17" s="422">
        <f>G17*H17</f>
        <v>0.49090457251500325</v>
      </c>
      <c r="J17" s="771"/>
    </row>
    <row r="18" spans="1:10">
      <c r="A18" s="787">
        <f t="shared" si="0"/>
        <v>6</v>
      </c>
      <c r="C18" s="1134"/>
      <c r="D18" s="1134"/>
      <c r="E18" s="1134"/>
      <c r="F18" s="1134"/>
      <c r="G18" s="1134"/>
      <c r="H18" s="1134"/>
      <c r="I18" s="787"/>
    </row>
    <row r="19" spans="1:10">
      <c r="A19" s="950">
        <f t="shared" si="0"/>
        <v>7</v>
      </c>
      <c r="B19" s="500"/>
      <c r="C19" s="1134"/>
      <c r="D19" s="1134"/>
      <c r="E19" s="1134"/>
      <c r="F19" s="1134"/>
      <c r="G19" s="1134"/>
      <c r="H19" s="1134"/>
      <c r="I19" s="787"/>
    </row>
    <row r="20" spans="1:10" ht="15.75">
      <c r="A20" s="787">
        <f t="shared" si="0"/>
        <v>8</v>
      </c>
      <c r="B20" s="794" t="s">
        <v>1241</v>
      </c>
      <c r="C20" s="1134"/>
      <c r="D20" s="1134"/>
      <c r="E20" s="625">
        <f>[2]Greenville!$H$24</f>
        <v>1.5418259551017742E-2</v>
      </c>
      <c r="F20" s="1134"/>
      <c r="G20" s="1134"/>
      <c r="H20" s="1134"/>
      <c r="I20" s="422">
        <f>E20</f>
        <v>1.5418259551017742E-2</v>
      </c>
    </row>
    <row r="21" spans="1:10" ht="15.75">
      <c r="A21" s="787">
        <f t="shared" si="0"/>
        <v>9</v>
      </c>
      <c r="B21" s="794" t="s">
        <v>1240</v>
      </c>
      <c r="C21" s="1134"/>
      <c r="D21" s="1134"/>
      <c r="E21" s="625">
        <f>'[2]CKV Center'!$L$20</f>
        <v>1.083947E-2</v>
      </c>
      <c r="F21" s="1134"/>
      <c r="G21" s="1134"/>
      <c r="H21" s="1134"/>
      <c r="I21" s="422">
        <f>E21</f>
        <v>1.083947E-2</v>
      </c>
    </row>
    <row r="22" spans="1:10">
      <c r="A22" s="787">
        <f t="shared" si="0"/>
        <v>10</v>
      </c>
      <c r="B22" s="500"/>
      <c r="C22" s="1134"/>
      <c r="D22" s="1134"/>
      <c r="E22" s="1134"/>
      <c r="F22" s="1134"/>
      <c r="G22" s="1134"/>
      <c r="H22" s="1134"/>
      <c r="I22" s="787"/>
    </row>
    <row r="23" spans="1:10" ht="15.75">
      <c r="A23" s="787">
        <f t="shared" si="0"/>
        <v>11</v>
      </c>
      <c r="B23" s="518" t="s">
        <v>1152</v>
      </c>
      <c r="C23" s="1134"/>
      <c r="D23" s="1134"/>
      <c r="E23" s="625">
        <f>ROUND(0.06+0.35*(1-0.06),5)</f>
        <v>0.38900000000000001</v>
      </c>
      <c r="F23" s="1134"/>
      <c r="G23" s="1134"/>
      <c r="H23" s="1134"/>
      <c r="I23" s="787"/>
      <c r="J23" s="771"/>
    </row>
    <row r="24" spans="1:10">
      <c r="A24" s="787">
        <f t="shared" si="0"/>
        <v>12</v>
      </c>
      <c r="B24" s="296"/>
      <c r="C24" s="1134"/>
      <c r="D24" s="1134"/>
      <c r="E24" s="625"/>
      <c r="F24" s="1134"/>
      <c r="G24" s="1134"/>
      <c r="H24" s="1134"/>
      <c r="I24" s="787"/>
    </row>
    <row r="25" spans="1:10" ht="15.75">
      <c r="A25" s="787">
        <f t="shared" si="0"/>
        <v>13</v>
      </c>
      <c r="B25" s="518" t="s">
        <v>1411</v>
      </c>
      <c r="C25" s="1134"/>
      <c r="D25" s="1134"/>
      <c r="E25" s="625">
        <v>0.105</v>
      </c>
      <c r="F25" s="1134"/>
      <c r="G25" s="1134"/>
      <c r="H25" s="1134"/>
      <c r="I25" s="787"/>
    </row>
    <row r="26" spans="1:10">
      <c r="A26" s="787">
        <f t="shared" si="0"/>
        <v>14</v>
      </c>
      <c r="B26" s="296"/>
      <c r="C26" s="1134"/>
      <c r="D26" s="1134"/>
      <c r="E26" s="1134"/>
      <c r="F26" s="1134"/>
      <c r="G26" s="1134"/>
      <c r="H26" s="1134"/>
      <c r="I26" s="787"/>
    </row>
    <row r="27" spans="1:10" ht="15.75">
      <c r="A27" s="787">
        <f t="shared" si="0"/>
        <v>15</v>
      </c>
      <c r="B27" s="518" t="s">
        <v>344</v>
      </c>
      <c r="C27" s="1134"/>
      <c r="D27" s="1134"/>
      <c r="E27" s="625">
        <f>ROUND(+'J-2 F'!L20,4)</f>
        <v>9.4000000000000004E-3</v>
      </c>
      <c r="F27" s="1134"/>
      <c r="G27" s="1134"/>
      <c r="H27" s="1134"/>
      <c r="I27" s="787"/>
    </row>
    <row r="28" spans="1:10">
      <c r="A28" s="787">
        <f t="shared" si="0"/>
        <v>16</v>
      </c>
      <c r="B28" s="296"/>
      <c r="C28" s="1134"/>
      <c r="D28" s="1134"/>
      <c r="E28" s="1134"/>
      <c r="F28" s="1134"/>
      <c r="G28" s="1134"/>
      <c r="H28" s="1134"/>
      <c r="I28" s="787"/>
    </row>
    <row r="29" spans="1:10" ht="15.75">
      <c r="A29" s="787">
        <f t="shared" si="0"/>
        <v>17</v>
      </c>
      <c r="B29" s="518" t="s">
        <v>345</v>
      </c>
      <c r="C29" s="1134"/>
      <c r="D29" s="1134"/>
      <c r="E29" s="625">
        <f>ROUND('J-3 F'!K33,4)</f>
        <v>5.8999999999999997E-2</v>
      </c>
      <c r="F29" s="625"/>
      <c r="G29" s="625"/>
      <c r="H29" s="625"/>
      <c r="I29" s="422"/>
    </row>
    <row r="30" spans="1:10">
      <c r="C30" s="107"/>
      <c r="D30" s="107"/>
      <c r="E30" s="107"/>
      <c r="F30" s="107"/>
      <c r="G30" s="107"/>
      <c r="H30" s="107"/>
    </row>
  </sheetData>
  <mergeCells count="5">
    <mergeCell ref="A1:I1"/>
    <mergeCell ref="A2:I2"/>
    <mergeCell ref="A3:I3"/>
    <mergeCell ref="A4:I4"/>
    <mergeCell ref="A6:I6"/>
  </mergeCells>
  <phoneticPr fontId="24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45" activePane="bottomLeft" state="frozen"/>
      <selection activeCell="B6" sqref="B6"/>
      <selection pane="bottomLeft" activeCell="K70" sqref="K70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77734375" style="1" bestFit="1" customWidth="1"/>
    <col min="6" max="6" width="11.77734375" style="1" customWidth="1"/>
    <col min="7" max="7" width="12.44140625" style="1" bestFit="1" customWidth="1"/>
    <col min="8" max="8" width="4.33203125" style="100" customWidth="1"/>
    <col min="9" max="9" width="13.109375" style="1" bestFit="1" customWidth="1"/>
    <col min="10" max="11" width="11.88671875" style="1" customWidth="1"/>
    <col min="12" max="12" width="14.777343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6384" width="8.44140625" style="1"/>
  </cols>
  <sheetData>
    <row r="1" spans="1:13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3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3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3">
      <c r="A4" s="1246" t="str">
        <f>'B.1 F '!A4</f>
        <v>as of May 31, 2017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3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3" ht="15.75">
      <c r="A6" s="70" t="s">
        <v>1075</v>
      </c>
      <c r="B6" s="70"/>
      <c r="C6" s="47"/>
      <c r="D6" s="772"/>
      <c r="L6" s="1" t="s">
        <v>1518</v>
      </c>
    </row>
    <row r="7" spans="1:13">
      <c r="A7" s="70" t="s">
        <v>1142</v>
      </c>
      <c r="B7" s="47"/>
      <c r="C7" s="70"/>
      <c r="L7" s="1" t="s">
        <v>725</v>
      </c>
    </row>
    <row r="8" spans="1:13">
      <c r="A8" s="70" t="s">
        <v>440</v>
      </c>
      <c r="B8" s="47"/>
      <c r="C8" s="47"/>
      <c r="D8" s="45"/>
      <c r="E8" s="47"/>
      <c r="F8" s="47"/>
      <c r="G8" s="47"/>
      <c r="I8" s="47"/>
      <c r="J8" s="47"/>
      <c r="L8" s="47" t="str">
        <f>'B.1 F '!F8</f>
        <v>Witness:   Waller</v>
      </c>
    </row>
    <row r="9" spans="1:13">
      <c r="A9" s="326"/>
      <c r="B9" s="85"/>
      <c r="C9" s="85"/>
      <c r="D9" s="641"/>
      <c r="E9" s="439" t="s">
        <v>13</v>
      </c>
      <c r="F9" s="440" t="s">
        <v>11</v>
      </c>
      <c r="G9" s="642" t="s">
        <v>102</v>
      </c>
      <c r="H9" s="101"/>
      <c r="I9" s="644"/>
      <c r="J9" s="439" t="s">
        <v>13</v>
      </c>
      <c r="K9" s="440" t="s">
        <v>11</v>
      </c>
      <c r="L9" s="507"/>
    </row>
    <row r="10" spans="1:13">
      <c r="A10" s="435" t="s">
        <v>98</v>
      </c>
      <c r="B10" s="46"/>
      <c r="C10" s="47"/>
      <c r="D10" s="436"/>
      <c r="E10" s="46" t="s">
        <v>14</v>
      </c>
      <c r="F10" s="101" t="s">
        <v>610</v>
      </c>
      <c r="G10" s="432" t="s">
        <v>1187</v>
      </c>
      <c r="H10" s="101"/>
      <c r="I10" s="435" t="s">
        <v>97</v>
      </c>
      <c r="J10" s="46" t="s">
        <v>14</v>
      </c>
      <c r="K10" s="101" t="s">
        <v>610</v>
      </c>
      <c r="L10" s="645" t="s">
        <v>12</v>
      </c>
    </row>
    <row r="11" spans="1:13">
      <c r="A11" s="433" t="s">
        <v>104</v>
      </c>
      <c r="B11" s="44"/>
      <c r="C11" s="80" t="s">
        <v>347</v>
      </c>
      <c r="D11" s="643" t="s">
        <v>1076</v>
      </c>
      <c r="E11" s="257" t="s">
        <v>643</v>
      </c>
      <c r="F11" s="257" t="s">
        <v>643</v>
      </c>
      <c r="G11" s="434" t="s">
        <v>110</v>
      </c>
      <c r="H11" s="101"/>
      <c r="I11" s="433" t="s">
        <v>103</v>
      </c>
      <c r="J11" s="257" t="s">
        <v>643</v>
      </c>
      <c r="K11" s="257" t="s">
        <v>643</v>
      </c>
      <c r="L11" s="646" t="s">
        <v>109</v>
      </c>
    </row>
    <row r="12" spans="1:13" ht="15.75">
      <c r="B12" s="12" t="s">
        <v>218</v>
      </c>
      <c r="E12" s="77"/>
      <c r="F12" s="77"/>
      <c r="G12" s="107"/>
      <c r="J12" s="77"/>
      <c r="K12" s="77"/>
    </row>
    <row r="13" spans="1:13">
      <c r="A13" s="2">
        <v>1</v>
      </c>
      <c r="C13" s="17" t="s">
        <v>689</v>
      </c>
      <c r="D13" s="386">
        <f>'WP B.5 F'!P13</f>
        <v>1904270.3399999999</v>
      </c>
      <c r="E13" s="637">
        <v>1</v>
      </c>
      <c r="F13" s="637">
        <v>1</v>
      </c>
      <c r="G13" s="386">
        <f>D13*E13*F13</f>
        <v>1904270.3399999999</v>
      </c>
      <c r="H13" s="103"/>
      <c r="I13" s="386">
        <f>'WP B.5 F'!Q13</f>
        <v>1904270.3399999999</v>
      </c>
      <c r="J13" s="556">
        <f>E13</f>
        <v>1</v>
      </c>
      <c r="K13" s="556">
        <f>F13</f>
        <v>1</v>
      </c>
      <c r="L13" s="386">
        <f>I13*J13*K13</f>
        <v>1904270.3399999999</v>
      </c>
      <c r="M13" s="394"/>
    </row>
    <row r="14" spans="1:13" ht="14.25" customHeight="1">
      <c r="A14" s="2">
        <v>2</v>
      </c>
      <c r="B14" s="489"/>
      <c r="C14" s="4"/>
      <c r="D14" s="103"/>
      <c r="E14" s="637"/>
      <c r="F14" s="637"/>
      <c r="G14" s="103"/>
      <c r="H14" s="103"/>
      <c r="I14" s="103"/>
      <c r="J14" s="102"/>
      <c r="K14" s="102"/>
      <c r="L14" s="103"/>
      <c r="M14" s="394"/>
    </row>
    <row r="15" spans="1:13">
      <c r="A15" s="2">
        <v>3</v>
      </c>
      <c r="C15" s="17" t="s">
        <v>690</v>
      </c>
      <c r="D15" s="99">
        <f>'WP B.5 F'!P15</f>
        <v>-99006302.007768542</v>
      </c>
      <c r="E15" s="637">
        <f>$E$13</f>
        <v>1</v>
      </c>
      <c r="F15" s="637">
        <f>$F$13</f>
        <v>1</v>
      </c>
      <c r="G15" s="99">
        <f>D15*E15*F15</f>
        <v>-99006302.007768542</v>
      </c>
      <c r="H15" s="103"/>
      <c r="I15" s="99">
        <f>'WP B.5 F'!Q15</f>
        <v>-95955181.635038689</v>
      </c>
      <c r="J15" s="556">
        <f>E15</f>
        <v>1</v>
      </c>
      <c r="K15" s="556">
        <f>F15</f>
        <v>1</v>
      </c>
      <c r="L15" s="99">
        <f>I15*J15*K15</f>
        <v>-95955181.635038689</v>
      </c>
      <c r="M15" s="394"/>
    </row>
    <row r="16" spans="1:13" ht="14.25" customHeight="1">
      <c r="A16" s="2">
        <v>4</v>
      </c>
      <c r="B16" s="489"/>
      <c r="C16" s="4"/>
      <c r="D16" s="103"/>
      <c r="E16" s="637"/>
      <c r="F16" s="637"/>
      <c r="G16" s="103"/>
      <c r="H16" s="103"/>
      <c r="I16" s="103"/>
      <c r="J16" s="102"/>
      <c r="K16" s="102"/>
      <c r="L16" s="103"/>
      <c r="M16" s="394"/>
    </row>
    <row r="17" spans="1:17">
      <c r="A17" s="2">
        <v>5</v>
      </c>
      <c r="C17" s="17" t="s">
        <v>691</v>
      </c>
      <c r="D17" s="99">
        <f>'WP B.5 F'!P17</f>
        <v>-96035.15</v>
      </c>
      <c r="E17" s="637">
        <f>$E$13</f>
        <v>1</v>
      </c>
      <c r="F17" s="637">
        <f>$F$13</f>
        <v>1</v>
      </c>
      <c r="G17" s="99">
        <f>D17*E17*F17</f>
        <v>-96035.15</v>
      </c>
      <c r="H17" s="103"/>
      <c r="I17" s="99">
        <f>'WP B.5 F'!Q17</f>
        <v>-96035.15</v>
      </c>
      <c r="J17" s="556">
        <f>E17</f>
        <v>1</v>
      </c>
      <c r="K17" s="556">
        <f>F17</f>
        <v>1</v>
      </c>
      <c r="L17" s="99">
        <f>I17*J17*K17</f>
        <v>-96035.15</v>
      </c>
      <c r="M17" s="394"/>
    </row>
    <row r="18" spans="1:17" ht="14.25" customHeight="1">
      <c r="A18" s="2">
        <v>6</v>
      </c>
      <c r="B18" s="489"/>
      <c r="C18" s="4"/>
      <c r="D18" s="103"/>
      <c r="E18" s="24"/>
      <c r="F18" s="24"/>
      <c r="G18" s="103"/>
      <c r="H18" s="103"/>
      <c r="I18" s="103"/>
      <c r="J18" s="102"/>
      <c r="K18" s="102"/>
      <c r="L18" s="103"/>
      <c r="M18" s="394"/>
    </row>
    <row r="19" spans="1:17">
      <c r="A19" s="2">
        <v>7</v>
      </c>
      <c r="C19" s="26" t="s">
        <v>31</v>
      </c>
      <c r="D19" s="755">
        <f>SUM(D13:D17)</f>
        <v>-97198066.817768544</v>
      </c>
      <c r="E19" s="24"/>
      <c r="F19" s="24"/>
      <c r="G19" s="755">
        <f>SUM(G13:G17)</f>
        <v>-97198066.817768544</v>
      </c>
      <c r="I19" s="755">
        <f>SUM(I13:I17)</f>
        <v>-94146946.445038691</v>
      </c>
      <c r="J19" s="299"/>
      <c r="K19" s="299"/>
      <c r="L19" s="755">
        <f>SUM(L13:L17)</f>
        <v>-94146946.445038691</v>
      </c>
      <c r="M19" s="394"/>
    </row>
    <row r="20" spans="1:17" ht="14.25" customHeight="1">
      <c r="A20" s="2">
        <v>8</v>
      </c>
      <c r="B20" s="489"/>
      <c r="C20" s="4"/>
      <c r="D20" s="103"/>
      <c r="E20" s="24"/>
      <c r="F20" s="24"/>
      <c r="G20" s="103"/>
      <c r="H20" s="103"/>
      <c r="I20" s="103"/>
      <c r="J20" s="102"/>
      <c r="K20" s="102"/>
      <c r="L20" s="103"/>
      <c r="M20" s="394"/>
    </row>
    <row r="21" spans="1:17" ht="15.75">
      <c r="A21" s="2">
        <v>9</v>
      </c>
      <c r="B21" s="12" t="s">
        <v>219</v>
      </c>
      <c r="E21" s="77"/>
      <c r="F21" s="77"/>
      <c r="J21" s="77"/>
      <c r="K21" s="77"/>
      <c r="M21" s="394"/>
    </row>
    <row r="22" spans="1:17">
      <c r="A22" s="2">
        <v>10</v>
      </c>
      <c r="C22" s="17" t="s">
        <v>689</v>
      </c>
      <c r="D22" s="386">
        <f>'WP B.5 F'!P22</f>
        <v>484045051.19999999</v>
      </c>
      <c r="E22" s="526">
        <f>Allocation!C14</f>
        <v>0.1071</v>
      </c>
      <c r="F22" s="526">
        <f>Allocation!D14</f>
        <v>0.49090457251500325</v>
      </c>
      <c r="G22" s="386">
        <f>D22*E22*F22</f>
        <v>25449094.389188994</v>
      </c>
      <c r="H22" s="103"/>
      <c r="I22" s="386">
        <f>'WP B.5 F'!Q22</f>
        <v>484045051.19999987</v>
      </c>
      <c r="J22" s="571">
        <f>E22</f>
        <v>0.1071</v>
      </c>
      <c r="K22" s="571">
        <f>F22</f>
        <v>0.49090457251500325</v>
      </c>
      <c r="L22" s="386">
        <f>I22*J22*K22</f>
        <v>25449094.389188986</v>
      </c>
      <c r="M22" s="394"/>
      <c r="P22" s="1094">
        <f>E22*F22</f>
        <v>5.2575879716356848E-2</v>
      </c>
      <c r="Q22" s="1094">
        <f>J22*K22</f>
        <v>5.2575879716356848E-2</v>
      </c>
    </row>
    <row r="23" spans="1:17">
      <c r="A23" s="2">
        <v>11</v>
      </c>
      <c r="D23" s="99"/>
      <c r="E23" s="24"/>
      <c r="F23" s="24"/>
      <c r="G23" s="99"/>
      <c r="H23" s="103"/>
      <c r="I23" s="99"/>
      <c r="J23" s="640"/>
      <c r="K23" s="640"/>
      <c r="L23" s="99"/>
      <c r="M23" s="394"/>
      <c r="P23" s="1094"/>
      <c r="Q23" s="1095"/>
    </row>
    <row r="24" spans="1:17">
      <c r="A24" s="2">
        <v>12</v>
      </c>
      <c r="C24" s="17" t="s">
        <v>690</v>
      </c>
      <c r="D24" s="99">
        <f>'WP B.5 F'!P24</f>
        <v>-26699471.99418591</v>
      </c>
      <c r="E24" s="526">
        <f>$E$22</f>
        <v>0.1071</v>
      </c>
      <c r="F24" s="526">
        <f>$F$22</f>
        <v>0.49090457251500325</v>
      </c>
      <c r="G24" s="99">
        <f>D24*E24*F24</f>
        <v>-1403748.2280565565</v>
      </c>
      <c r="H24" s="103"/>
      <c r="I24" s="99">
        <f>'WP B.5 F'!Q24</f>
        <v>-26536835.161484536</v>
      </c>
      <c r="J24" s="571">
        <f>E24</f>
        <v>0.1071</v>
      </c>
      <c r="K24" s="571">
        <f>F24</f>
        <v>0.49090457251500325</v>
      </c>
      <c r="L24" s="99">
        <f>I24*J24*K24</f>
        <v>-1395197.4535029999</v>
      </c>
      <c r="M24" s="394"/>
      <c r="P24" s="1094">
        <f>E24*F24</f>
        <v>5.2575879716356848E-2</v>
      </c>
      <c r="Q24" s="1094">
        <f>J24*K24</f>
        <v>5.2575879716356848E-2</v>
      </c>
    </row>
    <row r="25" spans="1:17" ht="14.25" customHeight="1">
      <c r="A25" s="2">
        <v>13</v>
      </c>
      <c r="B25" s="489"/>
      <c r="C25" s="4"/>
      <c r="D25" s="103"/>
      <c r="E25" s="24"/>
      <c r="F25" s="24"/>
      <c r="G25" s="103"/>
      <c r="H25" s="103"/>
      <c r="I25" s="103"/>
      <c r="J25" s="102"/>
      <c r="K25" s="102"/>
      <c r="L25" s="103"/>
      <c r="M25" s="394"/>
      <c r="P25" s="1094"/>
      <c r="Q25" s="1095"/>
    </row>
    <row r="26" spans="1:17">
      <c r="A26" s="2">
        <v>14</v>
      </c>
      <c r="C26" s="17" t="s">
        <v>691</v>
      </c>
      <c r="D26" s="99">
        <f>'WP B.5 F'!P26</f>
        <v>22822184.905000001</v>
      </c>
      <c r="E26" s="526">
        <f>$E$22</f>
        <v>0.1071</v>
      </c>
      <c r="F26" s="526">
        <f>$F$22</f>
        <v>0.49090457251500325</v>
      </c>
      <c r="G26" s="99">
        <f>D26*E26*F26</f>
        <v>1199896.4484297349</v>
      </c>
      <c r="H26" s="103"/>
      <c r="I26" s="99">
        <f>'WP B.5 F'!Q26</f>
        <v>22822184.904999997</v>
      </c>
      <c r="J26" s="571">
        <f>E26</f>
        <v>0.1071</v>
      </c>
      <c r="K26" s="571">
        <f>F26</f>
        <v>0.49090457251500325</v>
      </c>
      <c r="L26" s="99">
        <f>I26*J26*K26</f>
        <v>1199896.4484297347</v>
      </c>
      <c r="M26" s="394"/>
      <c r="P26" s="1094">
        <f>E26*F26</f>
        <v>5.2575879716356848E-2</v>
      </c>
      <c r="Q26" s="1094">
        <f>J26*K26</f>
        <v>5.2575879716356848E-2</v>
      </c>
    </row>
    <row r="27" spans="1:17" ht="14.25" customHeight="1">
      <c r="A27" s="2">
        <v>15</v>
      </c>
      <c r="D27" s="99"/>
      <c r="E27" s="24"/>
      <c r="F27" s="24"/>
      <c r="G27" s="99"/>
      <c r="H27" s="103"/>
      <c r="I27" s="99"/>
      <c r="J27" s="640"/>
      <c r="K27" s="640"/>
      <c r="L27" s="99"/>
      <c r="M27" s="394"/>
      <c r="P27" s="1095"/>
      <c r="Q27" s="1095"/>
    </row>
    <row r="28" spans="1:17">
      <c r="A28" s="2">
        <v>16</v>
      </c>
      <c r="C28" s="26" t="s">
        <v>73</v>
      </c>
      <c r="D28" s="755">
        <f>SUM(D22:D26)</f>
        <v>480167764.11081409</v>
      </c>
      <c r="E28" s="24"/>
      <c r="F28" s="24"/>
      <c r="G28" s="755">
        <f>SUM(G22:G26)</f>
        <v>25245242.60956217</v>
      </c>
      <c r="I28" s="755">
        <f>SUM(I22:I26)</f>
        <v>480330400.9435153</v>
      </c>
      <c r="J28" s="102"/>
      <c r="K28" s="102"/>
      <c r="L28" s="755">
        <f>SUM(L22:L26)</f>
        <v>25253793.384115718</v>
      </c>
      <c r="M28" s="394"/>
      <c r="P28" s="1095"/>
      <c r="Q28" s="1095"/>
    </row>
    <row r="29" spans="1:17" ht="15.75">
      <c r="A29" s="2">
        <v>17</v>
      </c>
      <c r="B29" s="12" t="s">
        <v>1137</v>
      </c>
      <c r="E29" s="77"/>
      <c r="F29" s="77"/>
      <c r="J29" s="77"/>
      <c r="K29" s="77"/>
      <c r="M29" s="394"/>
      <c r="P29" s="1095"/>
      <c r="Q29" s="1095"/>
    </row>
    <row r="30" spans="1:17">
      <c r="A30" s="2">
        <v>18</v>
      </c>
      <c r="C30" s="17" t="s">
        <v>689</v>
      </c>
      <c r="D30" s="386">
        <f>'WP B.5 F'!P30</f>
        <v>-410946.2</v>
      </c>
      <c r="E30" s="526">
        <f>Allocation!C15</f>
        <v>0.1086</v>
      </c>
      <c r="F30" s="526">
        <f>Allocation!D15</f>
        <v>0.52599015110063552</v>
      </c>
      <c r="G30" s="386">
        <f>D30*E30*F30</f>
        <v>-23474.286806180397</v>
      </c>
      <c r="H30" s="103"/>
      <c r="I30" s="386">
        <f>'WP B.5 F'!Q30</f>
        <v>-410946.20000000013</v>
      </c>
      <c r="J30" s="571">
        <f>E30</f>
        <v>0.1086</v>
      </c>
      <c r="K30" s="571">
        <f>F30</f>
        <v>0.52599015110063552</v>
      </c>
      <c r="L30" s="386">
        <f>I30*J30*K30</f>
        <v>-23474.2868061804</v>
      </c>
      <c r="M30" s="394"/>
      <c r="P30" s="1094">
        <f>E30*F30</f>
        <v>5.712253040952902E-2</v>
      </c>
      <c r="Q30" s="1094">
        <f>J30*K30</f>
        <v>5.712253040952902E-2</v>
      </c>
    </row>
    <row r="31" spans="1:17">
      <c r="A31" s="2">
        <v>19</v>
      </c>
      <c r="B31" s="489"/>
      <c r="C31" s="4"/>
      <c r="D31" s="103"/>
      <c r="E31" s="24"/>
      <c r="F31" s="24"/>
      <c r="G31" s="103"/>
      <c r="H31" s="103"/>
      <c r="I31" s="103"/>
      <c r="J31" s="102"/>
      <c r="K31" s="102"/>
      <c r="L31" s="103"/>
      <c r="M31" s="394"/>
      <c r="P31" s="1094"/>
      <c r="Q31" s="1095"/>
    </row>
    <row r="32" spans="1:17">
      <c r="A32" s="2">
        <v>20</v>
      </c>
      <c r="C32" s="17" t="s">
        <v>690</v>
      </c>
      <c r="D32" s="99">
        <f>'WP B.5 F'!P32</f>
        <v>-30098212.080159146</v>
      </c>
      <c r="E32" s="526">
        <f>$E$30</f>
        <v>0.1086</v>
      </c>
      <c r="F32" s="526">
        <f>$F$30</f>
        <v>0.52599015110063552</v>
      </c>
      <c r="G32" s="99">
        <f>D32*E32*F32</f>
        <v>-1719286.0348213445</v>
      </c>
      <c r="H32" s="103"/>
      <c r="I32" s="99">
        <f>'WP B.5 F'!Q32</f>
        <v>-30344720.568317417</v>
      </c>
      <c r="J32" s="571">
        <f>E32</f>
        <v>0.1086</v>
      </c>
      <c r="K32" s="571">
        <f>F32</f>
        <v>0.52599015110063552</v>
      </c>
      <c r="L32" s="99">
        <f>I32*J32*K32</f>
        <v>-1733367.2234323723</v>
      </c>
      <c r="M32" s="394"/>
      <c r="P32" s="1094">
        <f>E32*F32</f>
        <v>5.712253040952902E-2</v>
      </c>
      <c r="Q32" s="1094">
        <f>J32*K32</f>
        <v>5.712253040952902E-2</v>
      </c>
    </row>
    <row r="33" spans="1:17">
      <c r="A33" s="2">
        <v>21</v>
      </c>
      <c r="B33" s="489"/>
      <c r="C33" s="4"/>
      <c r="D33" s="103"/>
      <c r="E33" s="24"/>
      <c r="F33" s="24"/>
      <c r="G33" s="103"/>
      <c r="H33" s="103"/>
      <c r="I33" s="103"/>
      <c r="J33" s="102"/>
      <c r="K33" s="102"/>
      <c r="L33" s="103"/>
      <c r="M33" s="394"/>
      <c r="P33" s="1094"/>
      <c r="Q33" s="1095"/>
    </row>
    <row r="34" spans="1:17">
      <c r="A34" s="2">
        <v>22</v>
      </c>
      <c r="C34" s="17" t="s">
        <v>691</v>
      </c>
      <c r="D34" s="99">
        <f>'WP B.5 F'!P34</f>
        <v>0</v>
      </c>
      <c r="E34" s="526">
        <f>$E$30</f>
        <v>0.1086</v>
      </c>
      <c r="F34" s="526">
        <f>$F$30</f>
        <v>0.52599015110063552</v>
      </c>
      <c r="G34" s="99">
        <f>D34*E34*F34</f>
        <v>0</v>
      </c>
      <c r="H34" s="103"/>
      <c r="I34" s="99">
        <f>'WP B.5 F'!Q34</f>
        <v>0</v>
      </c>
      <c r="J34" s="571">
        <f>E34</f>
        <v>0.1086</v>
      </c>
      <c r="K34" s="571">
        <f>F34</f>
        <v>0.52599015110063552</v>
      </c>
      <c r="L34" s="99">
        <f>I34*J34*K34</f>
        <v>0</v>
      </c>
      <c r="M34" s="394"/>
      <c r="P34" s="1094">
        <f>E34*F34</f>
        <v>5.712253040952902E-2</v>
      </c>
      <c r="Q34" s="1094">
        <f>J34*K34</f>
        <v>5.712253040952902E-2</v>
      </c>
    </row>
    <row r="35" spans="1:17">
      <c r="A35" s="2">
        <v>23</v>
      </c>
      <c r="D35" s="99"/>
      <c r="E35" s="24"/>
      <c r="F35" s="24"/>
      <c r="G35" s="99"/>
      <c r="H35" s="103"/>
      <c r="I35" s="99"/>
      <c r="J35" s="640"/>
      <c r="K35" s="640"/>
      <c r="L35" s="99"/>
      <c r="M35" s="394"/>
      <c r="P35" s="1095"/>
      <c r="Q35" s="1095"/>
    </row>
    <row r="36" spans="1:17">
      <c r="A36" s="2">
        <v>24</v>
      </c>
      <c r="C36" s="26" t="s">
        <v>735</v>
      </c>
      <c r="D36" s="755">
        <f>SUM(D30:D34)</f>
        <v>-30509158.280159146</v>
      </c>
      <c r="E36" s="24"/>
      <c r="F36" s="24"/>
      <c r="G36" s="755">
        <f>SUM(G30:G34)</f>
        <v>-1742760.3216275249</v>
      </c>
      <c r="I36" s="755">
        <f>SUM(I30:I34)</f>
        <v>-30755666.768317416</v>
      </c>
      <c r="J36" s="102"/>
      <c r="K36" s="102"/>
      <c r="L36" s="755">
        <f>SUM(L30:L34)</f>
        <v>-1756841.5102385527</v>
      </c>
      <c r="M36" s="394"/>
      <c r="P36" s="1095"/>
      <c r="Q36" s="1095"/>
    </row>
    <row r="37" spans="1:17" ht="15.75">
      <c r="A37" s="2">
        <v>25</v>
      </c>
      <c r="B37" s="12" t="s">
        <v>692</v>
      </c>
      <c r="E37" s="77"/>
      <c r="F37" s="77"/>
      <c r="J37" s="77"/>
      <c r="K37" s="77"/>
      <c r="M37" s="394"/>
      <c r="P37" s="1095"/>
      <c r="Q37" s="1095"/>
    </row>
    <row r="38" spans="1:17">
      <c r="A38" s="2">
        <v>26</v>
      </c>
      <c r="C38" s="17" t="s">
        <v>689</v>
      </c>
      <c r="D38" s="386">
        <f>'WP B.5 F'!P39</f>
        <v>6664194.4000000004</v>
      </c>
      <c r="E38" s="638">
        <v>1</v>
      </c>
      <c r="F38" s="526">
        <f>Allocation!D17</f>
        <v>0.49090457251500325</v>
      </c>
      <c r="G38" s="386">
        <f>D38*E38*F38</f>
        <v>3271483.5030888789</v>
      </c>
      <c r="H38" s="103"/>
      <c r="I38" s="386">
        <f>'WP B.5 F'!Q39</f>
        <v>6664194.4000000004</v>
      </c>
      <c r="J38" s="638">
        <f>E38</f>
        <v>1</v>
      </c>
      <c r="K38" s="526">
        <f>F38</f>
        <v>0.49090457251500325</v>
      </c>
      <c r="L38" s="386">
        <f>I38*J38*K38</f>
        <v>3271483.5030888789</v>
      </c>
      <c r="M38" s="394"/>
      <c r="P38" s="1094">
        <f>E38*F38</f>
        <v>0.49090457251500325</v>
      </c>
      <c r="Q38" s="1094">
        <f>J38*K38</f>
        <v>0.49090457251500325</v>
      </c>
    </row>
    <row r="39" spans="1:17">
      <c r="A39" s="2">
        <v>27</v>
      </c>
      <c r="D39" s="99"/>
      <c r="E39" s="24"/>
      <c r="F39" s="24"/>
      <c r="G39" s="99"/>
      <c r="H39" s="103"/>
      <c r="I39" s="99"/>
      <c r="J39" s="640"/>
      <c r="K39" s="640"/>
      <c r="L39" s="99"/>
      <c r="M39" s="394"/>
      <c r="P39" s="1094"/>
      <c r="Q39" s="1095"/>
    </row>
    <row r="40" spans="1:17">
      <c r="A40" s="2">
        <v>28</v>
      </c>
      <c r="C40" s="17" t="s">
        <v>453</v>
      </c>
      <c r="D40" s="99">
        <f>'WP B.5 F'!P45</f>
        <v>-11421</v>
      </c>
      <c r="E40" s="638">
        <f>$E$38</f>
        <v>1</v>
      </c>
      <c r="F40" s="526">
        <f>$F$38</f>
        <v>0.49090457251500325</v>
      </c>
      <c r="G40" s="99">
        <f>D40*E40*F40</f>
        <v>-5606.6211226938522</v>
      </c>
      <c r="H40" s="103"/>
      <c r="I40" s="99">
        <f>'WP B.5 F'!Q45</f>
        <v>-11421</v>
      </c>
      <c r="J40" s="638">
        <f>E40</f>
        <v>1</v>
      </c>
      <c r="K40" s="526">
        <f>F40</f>
        <v>0.49090457251500325</v>
      </c>
      <c r="L40" s="99">
        <f>I40*J40*K40</f>
        <v>-5606.6211226938522</v>
      </c>
      <c r="M40" s="394"/>
      <c r="P40" s="1094">
        <f>E40*F40</f>
        <v>0.49090457251500325</v>
      </c>
      <c r="Q40" s="1094">
        <f>J40*K40</f>
        <v>0.49090457251500325</v>
      </c>
    </row>
    <row r="41" spans="1:17">
      <c r="A41" s="2">
        <v>29</v>
      </c>
      <c r="D41" s="99"/>
      <c r="E41" s="24"/>
      <c r="F41" s="24"/>
      <c r="G41" s="99"/>
      <c r="H41" s="103"/>
      <c r="I41" s="99"/>
      <c r="J41" s="640"/>
      <c r="K41" s="640"/>
      <c r="L41" s="99"/>
      <c r="M41" s="394"/>
      <c r="P41" s="1094"/>
      <c r="Q41" s="1095"/>
    </row>
    <row r="42" spans="1:17">
      <c r="A42" s="2">
        <v>30</v>
      </c>
      <c r="C42" s="17" t="s">
        <v>690</v>
      </c>
      <c r="D42" s="99">
        <f>'WP B.5 F'!P41</f>
        <v>-5460913.5020311493</v>
      </c>
      <c r="E42" s="638">
        <f>$E$38</f>
        <v>1</v>
      </c>
      <c r="F42" s="526">
        <f>$F$38</f>
        <v>0.49090457251500325</v>
      </c>
      <c r="G42" s="99">
        <f>D42*E42*F42</f>
        <v>-2680787.4082560106</v>
      </c>
      <c r="H42" s="103"/>
      <c r="I42" s="99">
        <f>'WP B.5 F'!Q41</f>
        <v>-5450863.7924557738</v>
      </c>
      <c r="J42" s="638">
        <f>E42</f>
        <v>1</v>
      </c>
      <c r="K42" s="526">
        <f>F42</f>
        <v>0.49090457251500325</v>
      </c>
      <c r="L42" s="99">
        <f>I42*J42*K42</f>
        <v>-2675853.9598730109</v>
      </c>
      <c r="M42" s="394"/>
      <c r="P42" s="1094">
        <f>E42*F42</f>
        <v>0.49090457251500325</v>
      </c>
      <c r="Q42" s="1094">
        <f>J42*K42</f>
        <v>0.49090457251500325</v>
      </c>
    </row>
    <row r="43" spans="1:17">
      <c r="A43" s="2">
        <v>31</v>
      </c>
      <c r="D43" s="99"/>
      <c r="E43" s="24"/>
      <c r="F43" s="24"/>
      <c r="G43" s="99"/>
      <c r="H43" s="103"/>
      <c r="I43" s="99"/>
      <c r="J43" s="640"/>
      <c r="K43" s="640"/>
      <c r="L43" s="99"/>
      <c r="M43" s="394"/>
      <c r="P43" s="1095"/>
      <c r="Q43" s="1095"/>
    </row>
    <row r="44" spans="1:17">
      <c r="A44" s="2">
        <v>32</v>
      </c>
      <c r="C44" s="17" t="s">
        <v>691</v>
      </c>
      <c r="D44" s="99">
        <f>'WP B.5 F'!P43</f>
        <v>-1472160.1949999998</v>
      </c>
      <c r="E44" s="638">
        <f>$E$38</f>
        <v>1</v>
      </c>
      <c r="F44" s="526">
        <f>$F$38</f>
        <v>0.49090457251500325</v>
      </c>
      <c r="G44" s="99">
        <f>D44*E44*F44</f>
        <v>-722690.17120007868</v>
      </c>
      <c r="H44" s="103"/>
      <c r="I44" s="99">
        <f>'WP B.5 F'!Q43</f>
        <v>-1472160.1950000001</v>
      </c>
      <c r="J44" s="638">
        <f>E44</f>
        <v>1</v>
      </c>
      <c r="K44" s="526">
        <f>F44</f>
        <v>0.49090457251500325</v>
      </c>
      <c r="L44" s="99">
        <f>I44*J44*K44</f>
        <v>-722690.1712000788</v>
      </c>
      <c r="M44" s="394"/>
      <c r="P44" s="1094">
        <f>E44*F44</f>
        <v>0.49090457251500325</v>
      </c>
      <c r="Q44" s="1094">
        <f>J44*K44</f>
        <v>0.49090457251500325</v>
      </c>
    </row>
    <row r="45" spans="1:17">
      <c r="A45" s="2">
        <v>33</v>
      </c>
      <c r="D45" s="99"/>
      <c r="E45" s="24"/>
      <c r="F45" s="24"/>
      <c r="G45" s="99"/>
      <c r="H45" s="103"/>
      <c r="I45" s="99"/>
      <c r="J45" s="640"/>
      <c r="K45" s="640"/>
      <c r="L45" s="99"/>
      <c r="M45" s="394"/>
      <c r="P45" s="526"/>
      <c r="Q45" s="526"/>
    </row>
    <row r="46" spans="1:17">
      <c r="A46" s="2">
        <v>34</v>
      </c>
      <c r="C46" s="26" t="s">
        <v>452</v>
      </c>
      <c r="D46" s="755">
        <f>SUM(D38:D44)</f>
        <v>-280300.2970311488</v>
      </c>
      <c r="E46" s="24"/>
      <c r="F46" s="24"/>
      <c r="G46" s="755">
        <f>SUM(G38:G44)</f>
        <v>-137600.69748990401</v>
      </c>
      <c r="I46" s="755">
        <f>SUM(I38:I44)</f>
        <v>-270250.58745577349</v>
      </c>
      <c r="J46" s="102"/>
      <c r="K46" s="102"/>
      <c r="L46" s="755">
        <f>SUM(L38:L44)</f>
        <v>-132667.24910690438</v>
      </c>
      <c r="M46" s="394"/>
    </row>
    <row r="47" spans="1:17">
      <c r="A47" s="2">
        <v>35</v>
      </c>
      <c r="E47" s="77"/>
      <c r="F47" s="77"/>
      <c r="J47" s="77"/>
      <c r="K47" s="77"/>
      <c r="M47" s="394"/>
    </row>
    <row r="48" spans="1:17">
      <c r="A48" s="2">
        <v>36</v>
      </c>
      <c r="E48" s="77"/>
      <c r="F48" s="77"/>
      <c r="J48" s="77"/>
      <c r="K48" s="77"/>
      <c r="M48" s="394"/>
    </row>
    <row r="49" spans="1:12" ht="15.75">
      <c r="A49" s="2">
        <v>37</v>
      </c>
      <c r="B49" s="47"/>
      <c r="C49" s="688" t="s">
        <v>737</v>
      </c>
      <c r="D49" s="722">
        <f>D46+D36+D28+D19</f>
        <v>352180238.71585524</v>
      </c>
      <c r="E49" s="77"/>
      <c r="F49" s="77"/>
      <c r="G49" s="722">
        <f>G46+G36+G28+G19</f>
        <v>-73833185.2273238</v>
      </c>
      <c r="I49" s="722">
        <f>I46+I36+I28+I19</f>
        <v>355157537.14270341</v>
      </c>
      <c r="J49" s="77"/>
      <c r="K49" s="77"/>
      <c r="L49" s="722">
        <f>L46+L36+L28+L19</f>
        <v>-70782661.820268422</v>
      </c>
    </row>
    <row r="50" spans="1:12">
      <c r="A50" s="1089">
        <v>38</v>
      </c>
      <c r="B50" s="47"/>
      <c r="C50" s="1104" t="s">
        <v>1584</v>
      </c>
      <c r="E50" s="77"/>
      <c r="F50" s="77"/>
      <c r="J50" s="77"/>
      <c r="K50" s="77"/>
    </row>
    <row r="51" spans="1:12" ht="15.75">
      <c r="A51" s="1089">
        <v>39</v>
      </c>
      <c r="B51" s="47"/>
      <c r="C51" s="129" t="s">
        <v>1578</v>
      </c>
      <c r="E51" s="77"/>
      <c r="F51" s="77"/>
      <c r="J51" s="77"/>
      <c r="K51" s="77"/>
      <c r="L51" s="1">
        <f>I73</f>
        <v>8076556.8027132209</v>
      </c>
    </row>
    <row r="52" spans="1:12">
      <c r="A52" s="1089">
        <v>40</v>
      </c>
      <c r="B52" s="47"/>
      <c r="C52" s="119"/>
      <c r="E52" s="1090"/>
      <c r="F52" s="1090"/>
      <c r="J52" s="1090"/>
      <c r="K52" s="1090"/>
    </row>
    <row r="53" spans="1:12" ht="16.5" thickBot="1">
      <c r="A53" s="1089">
        <v>41</v>
      </c>
      <c r="B53" s="47"/>
      <c r="C53" s="129" t="s">
        <v>1579</v>
      </c>
      <c r="E53" s="1090"/>
      <c r="F53" s="1090"/>
      <c r="J53" s="1090"/>
      <c r="K53" s="1090"/>
      <c r="L53" s="1100">
        <f>L49+L51</f>
        <v>-62706105.0175552</v>
      </c>
    </row>
    <row r="54" spans="1:12" ht="15.75" thickTop="1">
      <c r="A54" s="1089">
        <v>42</v>
      </c>
      <c r="B54" s="47"/>
      <c r="E54" s="1090"/>
      <c r="F54" s="1090"/>
      <c r="J54" s="1090"/>
      <c r="K54" s="1090"/>
    </row>
    <row r="55" spans="1:12" ht="15.75">
      <c r="A55" s="1089">
        <v>43</v>
      </c>
      <c r="B55" s="47"/>
      <c r="C55" s="1106" t="s">
        <v>1561</v>
      </c>
      <c r="D55" s="85"/>
      <c r="E55" s="439"/>
      <c r="F55" s="439"/>
      <c r="G55" s="85"/>
      <c r="H55" s="1107"/>
      <c r="I55" s="85"/>
      <c r="J55" s="77"/>
      <c r="K55" s="77"/>
    </row>
    <row r="56" spans="1:12" ht="15.75">
      <c r="A56" s="1089">
        <v>44</v>
      </c>
      <c r="B56" s="47"/>
      <c r="C56" s="1108" t="s">
        <v>1562</v>
      </c>
      <c r="D56" s="47"/>
      <c r="E56" s="299"/>
      <c r="F56" s="299"/>
      <c r="G56" s="47"/>
      <c r="I56" s="47"/>
      <c r="J56" s="77"/>
      <c r="K56" s="77"/>
    </row>
    <row r="57" spans="1:12">
      <c r="A57" s="1089">
        <v>45</v>
      </c>
      <c r="F57" s="1089" t="s">
        <v>63</v>
      </c>
      <c r="I57" s="1089"/>
      <c r="J57" s="77"/>
      <c r="K57" s="77"/>
    </row>
    <row r="58" spans="1:12">
      <c r="A58" s="1089">
        <v>46</v>
      </c>
      <c r="C58" s="5" t="s">
        <v>1564</v>
      </c>
      <c r="D58" s="1084"/>
      <c r="E58" s="1084"/>
      <c r="F58" s="1092" t="s">
        <v>106</v>
      </c>
      <c r="G58" s="1084"/>
      <c r="H58" s="1093"/>
      <c r="I58" s="1092"/>
      <c r="J58" s="77"/>
      <c r="K58" s="77"/>
    </row>
    <row r="59" spans="1:12">
      <c r="A59" s="1089">
        <v>47</v>
      </c>
      <c r="B59" s="47"/>
      <c r="F59" s="1090"/>
      <c r="J59" s="77"/>
      <c r="K59" s="77"/>
    </row>
    <row r="60" spans="1:12">
      <c r="A60" s="1089">
        <v>48</v>
      </c>
      <c r="B60" s="47"/>
      <c r="C60" s="1" t="s">
        <v>1563</v>
      </c>
      <c r="F60" s="1090" t="s">
        <v>1565</v>
      </c>
      <c r="I60" s="1">
        <f>'B.1 F '!F27</f>
        <v>335042110.48015654</v>
      </c>
      <c r="J60" s="77"/>
      <c r="K60" s="77"/>
    </row>
    <row r="61" spans="1:12">
      <c r="A61" s="1089">
        <v>49</v>
      </c>
      <c r="B61" s="47"/>
      <c r="F61" s="1090"/>
      <c r="J61" s="77"/>
      <c r="K61" s="77"/>
    </row>
    <row r="62" spans="1:12">
      <c r="A62" s="1089">
        <v>50</v>
      </c>
      <c r="B62" s="47"/>
      <c r="C62" s="1" t="s">
        <v>1566</v>
      </c>
      <c r="F62" s="1090" t="s">
        <v>1567</v>
      </c>
      <c r="I62" s="1">
        <f>A.1!G24</f>
        <v>27205419</v>
      </c>
      <c r="J62" s="77"/>
      <c r="K62" s="77"/>
    </row>
    <row r="63" spans="1:12">
      <c r="A63" s="1089">
        <v>51</v>
      </c>
      <c r="B63" s="47"/>
      <c r="F63" s="1090"/>
      <c r="J63" s="77"/>
      <c r="K63" s="77"/>
    </row>
    <row r="64" spans="1:12">
      <c r="A64" s="1089">
        <v>52</v>
      </c>
      <c r="B64" s="47"/>
      <c r="C64" s="1" t="s">
        <v>216</v>
      </c>
      <c r="F64" s="1090" t="s">
        <v>1568</v>
      </c>
      <c r="I64" s="1">
        <f>E!G32</f>
        <v>7739472.7520916155</v>
      </c>
      <c r="J64" s="77"/>
      <c r="K64" s="77"/>
    </row>
    <row r="65" spans="1:11">
      <c r="A65" s="1089">
        <v>53</v>
      </c>
      <c r="B65" s="47"/>
      <c r="F65" s="1090"/>
      <c r="J65" s="77"/>
      <c r="K65" s="77"/>
    </row>
    <row r="66" spans="1:11">
      <c r="A66" s="1089">
        <v>54</v>
      </c>
      <c r="B66" s="47"/>
      <c r="C66" s="1" t="s">
        <v>1569</v>
      </c>
      <c r="F66" s="1090" t="s">
        <v>1588</v>
      </c>
      <c r="I66" s="1">
        <f>I62-I64</f>
        <v>19465946.247908384</v>
      </c>
      <c r="J66" s="77"/>
      <c r="K66" s="77"/>
    </row>
    <row r="67" spans="1:11">
      <c r="A67" s="1089">
        <v>55</v>
      </c>
      <c r="B67" s="47"/>
      <c r="F67" s="1090"/>
      <c r="J67" s="77"/>
      <c r="K67" s="77"/>
    </row>
    <row r="68" spans="1:11">
      <c r="A68" s="1089">
        <v>56</v>
      </c>
      <c r="B68" s="47"/>
      <c r="C68" s="1" t="s">
        <v>1570</v>
      </c>
      <c r="D68" s="558">
        <f>Allocation!E23</f>
        <v>0.38900000000000001</v>
      </c>
      <c r="F68" s="1090" t="s">
        <v>1590</v>
      </c>
      <c r="I68" s="1">
        <f>I66/(1-D68)</f>
        <v>31859159.161879517</v>
      </c>
      <c r="J68" s="77"/>
      <c r="K68" s="77"/>
    </row>
    <row r="69" spans="1:11">
      <c r="A69" s="1089">
        <v>57</v>
      </c>
      <c r="B69" s="47"/>
      <c r="F69" s="1090"/>
      <c r="J69" s="77"/>
      <c r="K69" s="77"/>
    </row>
    <row r="70" spans="1:11">
      <c r="A70" s="1089">
        <v>58</v>
      </c>
      <c r="B70" s="47"/>
      <c r="C70" s="1" t="s">
        <v>1580</v>
      </c>
      <c r="D70" s="558">
        <f>D68</f>
        <v>0.38900000000000001</v>
      </c>
      <c r="F70" s="1090" t="s">
        <v>1589</v>
      </c>
      <c r="I70" s="1096">
        <f>I68*D70</f>
        <v>12393212.913971132</v>
      </c>
      <c r="J70" s="77"/>
      <c r="K70" s="77"/>
    </row>
    <row r="71" spans="1:11">
      <c r="A71" s="1089">
        <v>59</v>
      </c>
      <c r="F71" s="1090"/>
      <c r="J71" s="77"/>
      <c r="K71" s="77"/>
    </row>
    <row r="72" spans="1:11">
      <c r="A72" s="1089">
        <v>60</v>
      </c>
      <c r="C72" s="1" t="s">
        <v>1576</v>
      </c>
      <c r="F72" s="1090" t="s">
        <v>1591</v>
      </c>
      <c r="I72" s="47">
        <f>L49-'B.5 B'!L49</f>
        <v>-20469769.716684356</v>
      </c>
      <c r="J72" s="1090"/>
      <c r="K72" s="1090"/>
    </row>
    <row r="73" spans="1:11">
      <c r="A73" s="1089">
        <v>61</v>
      </c>
      <c r="C73" s="1" t="s">
        <v>1577</v>
      </c>
      <c r="F73" s="1090"/>
      <c r="I73" s="1084">
        <v>8076556.8027132209</v>
      </c>
      <c r="J73" s="1090"/>
      <c r="K73" s="1090"/>
    </row>
    <row r="74" spans="1:11">
      <c r="A74" s="1089">
        <v>62</v>
      </c>
      <c r="F74" s="1090"/>
      <c r="J74" s="1090"/>
      <c r="K74" s="1090"/>
    </row>
    <row r="75" spans="1:11" ht="16.5" thickBot="1">
      <c r="A75" s="1089">
        <v>63</v>
      </c>
      <c r="C75" s="129" t="s">
        <v>1582</v>
      </c>
      <c r="D75" s="129"/>
      <c r="E75" s="129"/>
      <c r="F75" s="1091" t="s">
        <v>1571</v>
      </c>
      <c r="G75" s="129"/>
      <c r="H75" s="1102"/>
      <c r="I75" s="1103">
        <f>'B.1 F '!F25-'B.1 B'!F25</f>
        <v>-12393212.913971134</v>
      </c>
      <c r="J75" s="77"/>
      <c r="K75" s="77"/>
    </row>
    <row r="76" spans="1:11" ht="15.75" thickTop="1">
      <c r="A76" s="1089">
        <v>64</v>
      </c>
      <c r="J76" s="77"/>
      <c r="K76" s="1109">
        <f>I70+I75</f>
        <v>0</v>
      </c>
    </row>
    <row r="77" spans="1:11">
      <c r="A77" s="1089">
        <v>65</v>
      </c>
      <c r="J77" s="77"/>
      <c r="K77" s="77"/>
    </row>
    <row r="78" spans="1:11" ht="15.75">
      <c r="A78" s="1089">
        <v>66</v>
      </c>
      <c r="C78" s="1099" t="s">
        <v>1575</v>
      </c>
      <c r="D78" s="1084"/>
      <c r="E78" s="1084"/>
      <c r="F78" s="1084"/>
      <c r="G78" s="1084"/>
      <c r="H78" s="1093"/>
      <c r="I78" s="1084"/>
      <c r="J78" s="77"/>
      <c r="K78" s="77"/>
    </row>
    <row r="79" spans="1:11" ht="15.75">
      <c r="A79" s="1089">
        <v>67</v>
      </c>
      <c r="C79" s="129" t="s">
        <v>1572</v>
      </c>
      <c r="D79" s="129"/>
      <c r="E79" s="129"/>
      <c r="F79" s="1091" t="s">
        <v>1581</v>
      </c>
      <c r="G79" s="129"/>
      <c r="H79" s="1102"/>
      <c r="I79" s="129">
        <f>'B.5 B'!L49</f>
        <v>-50312892.103584066</v>
      </c>
      <c r="J79" s="77"/>
      <c r="K79" s="77"/>
    </row>
    <row r="80" spans="1:11">
      <c r="A80" s="1089">
        <v>68</v>
      </c>
      <c r="J80" s="1090"/>
      <c r="K80" s="1090"/>
    </row>
    <row r="81" spans="1:12">
      <c r="A81" s="1089">
        <v>69</v>
      </c>
      <c r="C81" s="1" t="s">
        <v>1573</v>
      </c>
      <c r="F81" s="1090" t="s">
        <v>1586</v>
      </c>
      <c r="I81" s="1">
        <f>L49</f>
        <v>-70782661.820268422</v>
      </c>
      <c r="J81" s="77"/>
      <c r="K81" s="77"/>
    </row>
    <row r="82" spans="1:12">
      <c r="A82" s="1089">
        <v>70</v>
      </c>
      <c r="C82" s="119" t="s">
        <v>1537</v>
      </c>
      <c r="F82" s="1090" t="s">
        <v>1587</v>
      </c>
      <c r="I82" s="1084">
        <f>I73</f>
        <v>8076556.8027132209</v>
      </c>
      <c r="J82" s="77"/>
      <c r="K82" s="77"/>
    </row>
    <row r="83" spans="1:12" ht="15.75">
      <c r="A83" s="1089">
        <v>71</v>
      </c>
      <c r="C83" s="129" t="s">
        <v>1579</v>
      </c>
      <c r="D83" s="129"/>
      <c r="E83" s="129"/>
      <c r="F83" s="129"/>
      <c r="G83" s="129"/>
      <c r="H83" s="1102"/>
      <c r="I83" s="1101">
        <f>SUM(I81:I82)</f>
        <v>-62706105.0175552</v>
      </c>
      <c r="J83" s="77"/>
      <c r="K83" s="77"/>
    </row>
    <row r="84" spans="1:12" ht="15.75">
      <c r="A84" s="1089">
        <v>72</v>
      </c>
      <c r="C84" s="129"/>
      <c r="I84" s="518"/>
      <c r="J84" s="1090"/>
      <c r="K84" s="1090"/>
    </row>
    <row r="85" spans="1:12" ht="16.5" thickBot="1">
      <c r="A85" s="1089">
        <v>73</v>
      </c>
      <c r="C85" s="129" t="s">
        <v>1574</v>
      </c>
      <c r="F85" s="1" t="s">
        <v>1585</v>
      </c>
      <c r="I85" s="1103">
        <f>I83-I79</f>
        <v>-12393212.913971134</v>
      </c>
      <c r="J85" s="77"/>
      <c r="K85" s="77"/>
    </row>
    <row r="86" spans="1:12" ht="16.5" thickTop="1">
      <c r="A86" s="1089">
        <v>74</v>
      </c>
      <c r="C86" s="129"/>
      <c r="I86" s="518"/>
      <c r="J86" s="1090"/>
      <c r="K86" s="1090"/>
    </row>
    <row r="87" spans="1:12">
      <c r="A87" s="1089">
        <v>75</v>
      </c>
      <c r="I87" s="47"/>
      <c r="J87" s="77"/>
      <c r="K87" s="77"/>
    </row>
    <row r="88" spans="1:12">
      <c r="A88" s="1089">
        <v>76</v>
      </c>
      <c r="C88" s="1104" t="s">
        <v>1583</v>
      </c>
      <c r="E88" s="1090"/>
      <c r="F88" s="1090"/>
      <c r="J88" s="77"/>
      <c r="K88" s="77"/>
    </row>
    <row r="89" spans="1:12">
      <c r="E89" s="1090"/>
      <c r="F89" s="1090"/>
      <c r="J89" s="77"/>
      <c r="K89" s="77"/>
    </row>
    <row r="90" spans="1:12">
      <c r="E90" s="1090"/>
      <c r="F90" s="1090"/>
      <c r="J90" s="77"/>
      <c r="K90" s="77"/>
      <c r="L90" s="208"/>
    </row>
    <row r="91" spans="1:12">
      <c r="E91" s="1090"/>
      <c r="F91" s="1090"/>
      <c r="J91" s="77"/>
      <c r="K91" s="77"/>
      <c r="L91" s="208"/>
    </row>
    <row r="92" spans="1:12">
      <c r="E92" s="1090"/>
      <c r="F92" s="1090"/>
      <c r="J92" s="77"/>
      <c r="K92" s="77"/>
      <c r="L92" s="1078"/>
    </row>
    <row r="93" spans="1:12">
      <c r="E93" s="1090"/>
      <c r="F93" s="1090"/>
      <c r="J93" s="77"/>
      <c r="K93" s="77"/>
      <c r="L93" s="208"/>
    </row>
    <row r="94" spans="1:12">
      <c r="E94" s="1090"/>
      <c r="F94" s="1090"/>
      <c r="J94" s="77"/>
      <c r="K94" s="77"/>
    </row>
    <row r="95" spans="1:12">
      <c r="E95" s="1090"/>
      <c r="F95" s="1090"/>
      <c r="J95" s="77"/>
      <c r="K95" s="77"/>
    </row>
    <row r="96" spans="1:12">
      <c r="D96" s="1">
        <v>0</v>
      </c>
      <c r="E96" s="1090"/>
      <c r="F96" s="1090"/>
      <c r="J96" s="77"/>
      <c r="K96" s="77"/>
    </row>
    <row r="97" spans="5:11">
      <c r="E97" s="77"/>
      <c r="F97" s="77"/>
      <c r="J97" s="77"/>
      <c r="K97" s="77"/>
    </row>
    <row r="98" spans="5:11">
      <c r="E98" s="77"/>
      <c r="F98" s="77"/>
      <c r="J98" s="77"/>
      <c r="K98" s="77"/>
    </row>
    <row r="99" spans="5:11">
      <c r="E99" s="77"/>
      <c r="F99" s="77"/>
      <c r="J99" s="77"/>
      <c r="K99" s="77"/>
    </row>
    <row r="100" spans="5:11">
      <c r="E100" s="77"/>
      <c r="F100" s="77"/>
      <c r="J100" s="77"/>
      <c r="K100" s="77"/>
    </row>
    <row r="101" spans="5:11">
      <c r="E101" s="77"/>
      <c r="F101" s="77"/>
      <c r="J101" s="77"/>
      <c r="K101" s="77"/>
    </row>
    <row r="102" spans="5:11">
      <c r="E102" s="77"/>
      <c r="F102" s="77"/>
      <c r="J102" s="77"/>
      <c r="K102" s="77"/>
    </row>
    <row r="103" spans="5:11">
      <c r="E103" s="77"/>
      <c r="F103" s="77"/>
      <c r="J103" s="77"/>
      <c r="K103" s="77"/>
    </row>
    <row r="104" spans="5:11">
      <c r="E104" s="77"/>
      <c r="F104" s="77"/>
      <c r="J104" s="77"/>
      <c r="K104" s="77"/>
    </row>
    <row r="105" spans="5:11">
      <c r="E105" s="77"/>
      <c r="F105" s="77"/>
      <c r="J105" s="77"/>
      <c r="K105" s="77"/>
    </row>
    <row r="106" spans="5:11">
      <c r="J106" s="77"/>
      <c r="K106" s="77"/>
    </row>
    <row r="107" spans="5:11">
      <c r="J107" s="77"/>
      <c r="K107" s="77"/>
    </row>
    <row r="108" spans="5:11">
      <c r="J108" s="77"/>
      <c r="K108" s="77"/>
    </row>
    <row r="109" spans="5:11">
      <c r="J109" s="77"/>
      <c r="K109" s="77"/>
    </row>
    <row r="110" spans="5:11">
      <c r="J110" s="77"/>
      <c r="K110" s="77"/>
    </row>
    <row r="111" spans="5:11">
      <c r="J111" s="77"/>
      <c r="K111" s="77"/>
    </row>
    <row r="112" spans="5:11">
      <c r="J112" s="77"/>
      <c r="K112" s="77"/>
    </row>
    <row r="113" spans="10:11">
      <c r="J113" s="77"/>
      <c r="K113" s="77"/>
    </row>
    <row r="114" spans="10:11">
      <c r="J114" s="77"/>
      <c r="K114" s="77"/>
    </row>
    <row r="115" spans="10:11">
      <c r="J115" s="77"/>
      <c r="K115" s="77"/>
    </row>
    <row r="116" spans="10:11">
      <c r="J116" s="77"/>
      <c r="K116" s="77"/>
    </row>
    <row r="117" spans="10:11">
      <c r="J117" s="77"/>
      <c r="K117" s="77"/>
    </row>
    <row r="118" spans="10:11">
      <c r="J118" s="77"/>
      <c r="K118" s="77"/>
    </row>
    <row r="119" spans="10:11">
      <c r="J119" s="77"/>
      <c r="K119" s="77"/>
    </row>
    <row r="120" spans="10:11">
      <c r="J120" s="77"/>
      <c r="K120" s="77"/>
    </row>
    <row r="121" spans="10:11">
      <c r="J121" s="77"/>
      <c r="K121" s="77"/>
    </row>
    <row r="122" spans="10:11">
      <c r="J122" s="77"/>
      <c r="K122" s="77"/>
    </row>
    <row r="123" spans="10:11">
      <c r="J123" s="77"/>
      <c r="K123" s="77"/>
    </row>
    <row r="124" spans="10:11">
      <c r="J124" s="77"/>
      <c r="K124" s="77"/>
    </row>
    <row r="125" spans="10:11">
      <c r="J125" s="77"/>
      <c r="K125" s="77"/>
    </row>
    <row r="126" spans="10:11">
      <c r="J126" s="77"/>
      <c r="K126" s="77"/>
    </row>
    <row r="127" spans="10:11">
      <c r="J127" s="77"/>
      <c r="K127" s="77"/>
    </row>
    <row r="128" spans="10:11">
      <c r="J128" s="77"/>
      <c r="K128" s="77"/>
    </row>
    <row r="129" spans="10:11">
      <c r="J129" s="77"/>
      <c r="K129" s="77"/>
    </row>
    <row r="130" spans="10:11">
      <c r="J130" s="77"/>
      <c r="K130" s="77"/>
    </row>
    <row r="131" spans="10:11">
      <c r="J131" s="77"/>
      <c r="K131" s="77"/>
    </row>
    <row r="132" spans="10:11">
      <c r="J132" s="77"/>
      <c r="K132" s="77"/>
    </row>
    <row r="133" spans="10:11">
      <c r="J133" s="77"/>
      <c r="K133" s="77"/>
    </row>
    <row r="134" spans="10:11">
      <c r="J134" s="77"/>
      <c r="K134" s="77"/>
    </row>
    <row r="135" spans="10:11">
      <c r="J135" s="77"/>
      <c r="K135" s="77"/>
    </row>
    <row r="136" spans="10:11">
      <c r="J136" s="77"/>
      <c r="K136" s="77"/>
    </row>
    <row r="137" spans="10:11">
      <c r="J137" s="77"/>
      <c r="K137" s="77"/>
    </row>
    <row r="138" spans="10:11">
      <c r="J138" s="77"/>
      <c r="K138" s="77"/>
    </row>
    <row r="139" spans="10:11">
      <c r="J139" s="77"/>
      <c r="K139" s="77"/>
    </row>
    <row r="140" spans="10:11">
      <c r="J140" s="77"/>
      <c r="K140" s="7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6" bottom="0.5" header="0.5" footer="0.17"/>
  <pageSetup scale="61" fitToHeight="2" orientation="landscape" verticalDpi="300" r:id="rId1"/>
  <headerFooter alignWithMargins="0">
    <oddFooter>&amp;RSchedule &amp;A
Page &amp;P of &amp;N</oddFooter>
  </headerFooter>
  <rowBreaks count="1" manualBreakCount="1">
    <brk id="53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topLeftCell="A4" zoomScale="80" zoomScaleNormal="90" zoomScaleSheetLayoutView="80" workbookViewId="0">
      <selection activeCell="M7" sqref="M7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77" bestFit="1" customWidth="1"/>
    <col min="6" max="6" width="11.77734375" style="77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77" customWidth="1"/>
    <col min="12" max="12" width="14.77734375" style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649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B'!A4</f>
        <v>as of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G5" s="40"/>
      <c r="H5" s="486"/>
      <c r="I5" s="40"/>
    </row>
    <row r="6" spans="1:12">
      <c r="A6" s="70" t="s">
        <v>805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726</v>
      </c>
    </row>
    <row r="8" spans="1:12">
      <c r="A8" s="5" t="s">
        <v>440</v>
      </c>
      <c r="B8" s="6"/>
      <c r="C8" s="6"/>
      <c r="D8" s="6"/>
      <c r="E8" s="485"/>
      <c r="F8" s="485"/>
      <c r="G8" s="45"/>
      <c r="I8" s="6"/>
      <c r="J8" s="485"/>
      <c r="K8" s="80"/>
      <c r="L8" s="45" t="str">
        <f>'B.1 B'!F8</f>
        <v>Witness:   Waller</v>
      </c>
    </row>
    <row r="9" spans="1:12">
      <c r="A9" s="767"/>
      <c r="D9" s="692"/>
      <c r="E9" s="299" t="s">
        <v>13</v>
      </c>
      <c r="F9" s="2" t="s">
        <v>11</v>
      </c>
      <c r="G9" s="642" t="s">
        <v>102</v>
      </c>
      <c r="H9" s="101"/>
      <c r="I9" s="693"/>
      <c r="J9" s="299" t="s">
        <v>13</v>
      </c>
      <c r="K9" s="2" t="s">
        <v>11</v>
      </c>
      <c r="L9" s="507"/>
    </row>
    <row r="10" spans="1:12">
      <c r="A10" s="435" t="s">
        <v>98</v>
      </c>
      <c r="B10" s="2"/>
      <c r="D10" s="436" t="s">
        <v>1076</v>
      </c>
      <c r="E10" s="2" t="s">
        <v>14</v>
      </c>
      <c r="F10" s="101" t="s">
        <v>610</v>
      </c>
      <c r="G10" s="432" t="s">
        <v>1187</v>
      </c>
      <c r="H10" s="101"/>
      <c r="I10" s="435" t="s">
        <v>97</v>
      </c>
      <c r="J10" s="2" t="s">
        <v>14</v>
      </c>
      <c r="K10" s="101" t="s">
        <v>610</v>
      </c>
      <c r="L10" s="645" t="s">
        <v>12</v>
      </c>
    </row>
    <row r="11" spans="1:12">
      <c r="A11" s="768" t="s">
        <v>104</v>
      </c>
      <c r="B11" s="9"/>
      <c r="C11" s="485" t="s">
        <v>347</v>
      </c>
      <c r="D11" s="643"/>
      <c r="E11" s="257" t="s">
        <v>643</v>
      </c>
      <c r="F11" s="257" t="s">
        <v>643</v>
      </c>
      <c r="G11" s="769" t="s">
        <v>110</v>
      </c>
      <c r="H11" s="101"/>
      <c r="I11" s="433" t="s">
        <v>103</v>
      </c>
      <c r="J11" s="257" t="s">
        <v>643</v>
      </c>
      <c r="K11" s="257" t="s">
        <v>643</v>
      </c>
      <c r="L11" s="770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7">
        <v>15560</v>
      </c>
      <c r="C13" s="4" t="s">
        <v>53</v>
      </c>
      <c r="D13" s="660">
        <f>'WP B.6 B'!P13</f>
        <v>-1767642.4683333335</v>
      </c>
      <c r="E13" s="689">
        <v>1</v>
      </c>
      <c r="F13" s="689">
        <f>E13</f>
        <v>1</v>
      </c>
      <c r="G13" s="660">
        <f>D13*E13*F13</f>
        <v>-1767642.4683333335</v>
      </c>
      <c r="H13" s="103"/>
      <c r="I13" s="423">
        <f>'WP B.6 B'!Q13</f>
        <v>-1767922.9961538462</v>
      </c>
      <c r="J13" s="556">
        <f>E13</f>
        <v>1</v>
      </c>
      <c r="K13" s="556">
        <f>F13</f>
        <v>1</v>
      </c>
      <c r="L13" s="660">
        <f>I13*J13*K13</f>
        <v>-1767922.9961538462</v>
      </c>
    </row>
    <row r="14" spans="1:12">
      <c r="A14" s="77">
        <f>A13+1</f>
        <v>2</v>
      </c>
      <c r="B14" s="488"/>
      <c r="D14" s="103"/>
      <c r="E14" s="231"/>
      <c r="F14" s="231"/>
      <c r="G14" s="103"/>
      <c r="H14" s="103"/>
      <c r="I14" s="63"/>
      <c r="J14" s="231"/>
      <c r="K14" s="231"/>
      <c r="L14" s="63"/>
    </row>
    <row r="15" spans="1:12" ht="15.75">
      <c r="A15" s="803">
        <f t="shared" ref="A15:A24" si="0">A14+1</f>
        <v>3</v>
      </c>
      <c r="B15" s="12" t="s">
        <v>219</v>
      </c>
      <c r="D15" s="47"/>
      <c r="E15" s="299"/>
      <c r="F15" s="299"/>
      <c r="G15" s="100"/>
      <c r="I15" s="47"/>
      <c r="J15" s="299"/>
      <c r="K15" s="299"/>
      <c r="L15" s="47"/>
    </row>
    <row r="16" spans="1:12">
      <c r="A16" s="803">
        <f t="shared" si="0"/>
        <v>4</v>
      </c>
      <c r="B16" s="487">
        <v>15560</v>
      </c>
      <c r="C16" s="4" t="s">
        <v>53</v>
      </c>
      <c r="D16" s="492">
        <f>'WP B.6 B'!P16</f>
        <v>0</v>
      </c>
      <c r="E16" s="690">
        <f>Allocation!G14</f>
        <v>0.1071</v>
      </c>
      <c r="F16" s="690">
        <f>Allocation!H14</f>
        <v>0.49090457251500325</v>
      </c>
      <c r="G16" s="492">
        <f>D16*E16*F16</f>
        <v>0</v>
      </c>
      <c r="H16" s="103"/>
      <c r="I16" s="496">
        <f>'WP B.6 B'!Q16</f>
        <v>0</v>
      </c>
      <c r="J16" s="571">
        <f>E16</f>
        <v>0.1071</v>
      </c>
      <c r="K16" s="571">
        <f>F16</f>
        <v>0.49090457251500325</v>
      </c>
      <c r="L16" s="492">
        <f>I16*J16*K16</f>
        <v>0</v>
      </c>
    </row>
    <row r="17" spans="1:12">
      <c r="A17" s="803">
        <f t="shared" si="0"/>
        <v>5</v>
      </c>
      <c r="B17" s="489"/>
      <c r="C17" s="4"/>
      <c r="D17" s="103"/>
      <c r="E17" s="231"/>
      <c r="F17" s="231"/>
      <c r="G17" s="103"/>
      <c r="H17" s="103"/>
      <c r="I17" s="100"/>
      <c r="J17" s="102"/>
      <c r="K17" s="102"/>
      <c r="L17" s="103"/>
    </row>
    <row r="18" spans="1:12" ht="15.75">
      <c r="A18" s="803">
        <f t="shared" si="0"/>
        <v>6</v>
      </c>
      <c r="B18" s="12" t="s">
        <v>1137</v>
      </c>
      <c r="D18" s="47"/>
      <c r="E18" s="299"/>
      <c r="F18" s="299"/>
      <c r="G18" s="100"/>
      <c r="I18" s="47"/>
      <c r="J18" s="299"/>
      <c r="K18" s="299"/>
      <c r="L18" s="47"/>
    </row>
    <row r="19" spans="1:12">
      <c r="A19" s="803">
        <f t="shared" si="0"/>
        <v>7</v>
      </c>
      <c r="B19" s="487">
        <v>15560</v>
      </c>
      <c r="C19" s="4" t="s">
        <v>53</v>
      </c>
      <c r="D19" s="492">
        <f>'WP B.6 B'!P19</f>
        <v>0</v>
      </c>
      <c r="E19" s="690">
        <f>Allocation!G15</f>
        <v>0.1086</v>
      </c>
      <c r="F19" s="690">
        <f>Allocation!H15</f>
        <v>0.52599015110063552</v>
      </c>
      <c r="G19" s="492">
        <f>D19*E19*F19</f>
        <v>0</v>
      </c>
      <c r="H19" s="103"/>
      <c r="I19" s="496">
        <f>'WP B.6 B'!Q19</f>
        <v>0</v>
      </c>
      <c r="J19" s="571">
        <f>E19</f>
        <v>0.1086</v>
      </c>
      <c r="K19" s="571">
        <f>F19</f>
        <v>0.52599015110063552</v>
      </c>
      <c r="L19" s="492">
        <f>I19*J19*K19</f>
        <v>0</v>
      </c>
    </row>
    <row r="20" spans="1:12">
      <c r="A20" s="803">
        <f t="shared" si="0"/>
        <v>8</v>
      </c>
      <c r="B20" s="489"/>
      <c r="C20" s="4"/>
      <c r="D20" s="103"/>
      <c r="E20" s="231"/>
      <c r="F20" s="231"/>
      <c r="G20" s="103"/>
      <c r="H20" s="103"/>
      <c r="I20" s="100"/>
      <c r="J20" s="102"/>
      <c r="K20" s="102"/>
      <c r="L20" s="103"/>
    </row>
    <row r="21" spans="1:12" ht="15.75">
      <c r="A21" s="803">
        <f t="shared" si="0"/>
        <v>9</v>
      </c>
      <c r="B21" s="12" t="s">
        <v>692</v>
      </c>
      <c r="D21" s="47"/>
      <c r="E21" s="299"/>
      <c r="F21" s="299"/>
      <c r="G21" s="100"/>
      <c r="I21" s="47"/>
      <c r="J21" s="299"/>
      <c r="K21" s="299"/>
      <c r="L21" s="47"/>
    </row>
    <row r="22" spans="1:12">
      <c r="A22" s="803">
        <f t="shared" si="0"/>
        <v>10</v>
      </c>
      <c r="B22" s="487">
        <v>15560</v>
      </c>
      <c r="C22" s="4" t="s">
        <v>53</v>
      </c>
      <c r="D22" s="492">
        <f>'WP B.6 B'!P22</f>
        <v>0</v>
      </c>
      <c r="E22" s="689">
        <v>1</v>
      </c>
      <c r="F22" s="690">
        <f>Allocation!H17</f>
        <v>0.49090457251500325</v>
      </c>
      <c r="G22" s="492">
        <f>D22*E22*F22</f>
        <v>0</v>
      </c>
      <c r="H22" s="103"/>
      <c r="I22" s="496">
        <f>'WP B.6 B'!Q22</f>
        <v>0</v>
      </c>
      <c r="J22" s="691">
        <f>$E$22</f>
        <v>1</v>
      </c>
      <c r="K22" s="538">
        <f>$F$22</f>
        <v>0.49090457251500325</v>
      </c>
      <c r="L22" s="492">
        <f>I22*J22*K22</f>
        <v>0</v>
      </c>
    </row>
    <row r="23" spans="1:12">
      <c r="A23" s="803">
        <f t="shared" si="0"/>
        <v>11</v>
      </c>
      <c r="B23" s="488"/>
      <c r="D23" s="103"/>
      <c r="E23" s="231"/>
      <c r="F23" s="231"/>
      <c r="G23" s="103"/>
      <c r="H23" s="103"/>
      <c r="I23" s="103"/>
      <c r="J23" s="490"/>
      <c r="K23" s="490"/>
      <c r="L23" s="103"/>
    </row>
    <row r="24" spans="1:12" ht="15.75" thickBot="1">
      <c r="A24" s="803">
        <f t="shared" si="0"/>
        <v>12</v>
      </c>
      <c r="C24" s="95" t="s">
        <v>736</v>
      </c>
      <c r="D24" s="425">
        <f>D22+D19+D16+D13</f>
        <v>-1767642.4683333335</v>
      </c>
      <c r="E24" s="299"/>
      <c r="F24" s="299"/>
      <c r="G24" s="425">
        <f>G22+G19+G16+G13</f>
        <v>-1767642.4683333335</v>
      </c>
      <c r="I24" s="425">
        <f>I22+I19+I16+I13</f>
        <v>-1767922.9961538462</v>
      </c>
      <c r="J24" s="299"/>
      <c r="K24" s="299"/>
      <c r="L24" s="425">
        <f>L22+L19+L16+L13</f>
        <v>-1767922.9961538462</v>
      </c>
    </row>
    <row r="25" spans="1:12" ht="15.75" thickTop="1">
      <c r="A25" s="2"/>
      <c r="D25" s="47"/>
      <c r="E25" s="299"/>
      <c r="F25" s="299"/>
      <c r="G25" s="47"/>
      <c r="I25" s="47"/>
      <c r="J25" s="299"/>
      <c r="K25" s="299"/>
      <c r="L25" s="47"/>
    </row>
    <row r="26" spans="1:12">
      <c r="A26" s="77"/>
      <c r="B26" s="47"/>
      <c r="C26" s="115"/>
      <c r="D26" s="47"/>
      <c r="E26" s="299"/>
      <c r="F26" s="299"/>
      <c r="G26" s="47"/>
      <c r="I26" s="47"/>
      <c r="J26" s="299"/>
      <c r="K26" s="299"/>
      <c r="L26" s="47"/>
    </row>
    <row r="27" spans="1:12">
      <c r="A27" s="47"/>
      <c r="B27" s="47"/>
      <c r="D27" s="47"/>
      <c r="E27" s="299"/>
      <c r="F27" s="299"/>
      <c r="G27" s="47"/>
      <c r="I27" s="47"/>
      <c r="J27" s="299"/>
      <c r="K27" s="299"/>
      <c r="L27" s="47"/>
    </row>
    <row r="28" spans="1:12">
      <c r="A28" s="47"/>
      <c r="B28" s="47"/>
      <c r="C28" s="491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80" zoomScaleNormal="80" zoomScaleSheetLayoutView="80" workbookViewId="0">
      <selection activeCell="M9" sqref="M9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100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</row>
    <row r="2" spans="1:12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</row>
    <row r="3" spans="1:12">
      <c r="A3" s="1246" t="s">
        <v>649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</row>
    <row r="4" spans="1:12">
      <c r="A4" s="1246" t="str">
        <f>'B.1 F '!A4</f>
        <v>as of May 31, 2017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</row>
    <row r="5" spans="1:12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2">
      <c r="A6" s="70" t="s">
        <v>1075</v>
      </c>
      <c r="B6" s="70"/>
      <c r="C6" s="47"/>
      <c r="L6" s="1" t="s">
        <v>1519</v>
      </c>
    </row>
    <row r="7" spans="1:12">
      <c r="A7" s="70" t="s">
        <v>1142</v>
      </c>
      <c r="B7" s="47"/>
      <c r="C7" s="70"/>
      <c r="L7" s="1" t="s">
        <v>727</v>
      </c>
    </row>
    <row r="8" spans="1:12">
      <c r="A8" s="5" t="s">
        <v>440</v>
      </c>
      <c r="B8" s="6"/>
      <c r="C8" s="6"/>
      <c r="D8" s="6"/>
      <c r="E8" s="6"/>
      <c r="F8" s="6"/>
      <c r="G8" s="45"/>
      <c r="I8" s="6"/>
      <c r="J8" s="6"/>
      <c r="K8" s="45"/>
      <c r="L8" s="45" t="str">
        <f>'B.1 F '!F8</f>
        <v>Witness:   Waller</v>
      </c>
    </row>
    <row r="9" spans="1:12">
      <c r="A9" s="767"/>
      <c r="D9" s="692"/>
      <c r="E9" s="299" t="s">
        <v>13</v>
      </c>
      <c r="F9" s="2" t="s">
        <v>11</v>
      </c>
      <c r="G9" s="642" t="s">
        <v>102</v>
      </c>
      <c r="H9" s="101"/>
      <c r="I9" s="693"/>
      <c r="J9" s="299" t="s">
        <v>13</v>
      </c>
      <c r="K9" s="2" t="s">
        <v>11</v>
      </c>
      <c r="L9" s="507"/>
    </row>
    <row r="10" spans="1:12">
      <c r="A10" s="435" t="s">
        <v>98</v>
      </c>
      <c r="B10" s="2"/>
      <c r="D10" s="436" t="s">
        <v>1076</v>
      </c>
      <c r="E10" s="2" t="s">
        <v>14</v>
      </c>
      <c r="F10" s="101" t="s">
        <v>610</v>
      </c>
      <c r="G10" s="432" t="s">
        <v>1187</v>
      </c>
      <c r="H10" s="101"/>
      <c r="I10" s="435" t="s">
        <v>97</v>
      </c>
      <c r="J10" s="2" t="s">
        <v>14</v>
      </c>
      <c r="K10" s="101" t="s">
        <v>610</v>
      </c>
      <c r="L10" s="645" t="s">
        <v>12</v>
      </c>
    </row>
    <row r="11" spans="1:12">
      <c r="A11" s="768" t="s">
        <v>104</v>
      </c>
      <c r="B11" s="9"/>
      <c r="C11" s="485" t="s">
        <v>347</v>
      </c>
      <c r="D11" s="643"/>
      <c r="E11" s="257" t="s">
        <v>643</v>
      </c>
      <c r="F11" s="257" t="s">
        <v>643</v>
      </c>
      <c r="G11" s="769" t="s">
        <v>110</v>
      </c>
      <c r="H11" s="101"/>
      <c r="I11" s="433" t="s">
        <v>103</v>
      </c>
      <c r="J11" s="257" t="s">
        <v>643</v>
      </c>
      <c r="K11" s="257" t="s">
        <v>643</v>
      </c>
      <c r="L11" s="770" t="s">
        <v>109</v>
      </c>
    </row>
    <row r="12" spans="1:12" ht="15.75">
      <c r="B12" s="12" t="s">
        <v>218</v>
      </c>
      <c r="G12" s="107"/>
    </row>
    <row r="13" spans="1:12">
      <c r="A13" s="2">
        <v>1</v>
      </c>
      <c r="B13" s="487">
        <v>15560</v>
      </c>
      <c r="C13" s="4" t="s">
        <v>53</v>
      </c>
      <c r="D13" s="660">
        <f>'WP B.6 F'!P13</f>
        <v>-1767642.4683333335</v>
      </c>
      <c r="E13" s="689">
        <v>1</v>
      </c>
      <c r="F13" s="689">
        <f>E13</f>
        <v>1</v>
      </c>
      <c r="G13" s="660">
        <f>D13*E13*F13</f>
        <v>-1767642.4683333335</v>
      </c>
      <c r="H13" s="103"/>
      <c r="I13" s="423">
        <f>'WP B.6 F'!Q13</f>
        <v>-1767642.4683333335</v>
      </c>
      <c r="J13" s="556">
        <f>E13</f>
        <v>1</v>
      </c>
      <c r="K13" s="556">
        <f>F13</f>
        <v>1</v>
      </c>
      <c r="L13" s="660">
        <f>I13*J13*K13</f>
        <v>-1767642.4683333335</v>
      </c>
    </row>
    <row r="14" spans="1:12">
      <c r="A14" s="77">
        <f>A13+1</f>
        <v>2</v>
      </c>
      <c r="B14" s="488"/>
      <c r="D14" s="103"/>
      <c r="E14" s="231"/>
      <c r="F14" s="231"/>
      <c r="G14" s="103"/>
      <c r="H14" s="103"/>
      <c r="I14" s="63"/>
      <c r="J14" s="231"/>
      <c r="K14" s="231"/>
      <c r="L14" s="63"/>
    </row>
    <row r="15" spans="1:12" ht="15.75">
      <c r="A15" s="803">
        <f t="shared" ref="A15:A24" si="0">A14+1</f>
        <v>3</v>
      </c>
      <c r="B15" s="12" t="s">
        <v>219</v>
      </c>
      <c r="D15" s="47"/>
      <c r="E15" s="299"/>
      <c r="F15" s="299"/>
      <c r="G15" s="100"/>
      <c r="I15" s="495"/>
      <c r="J15" s="299"/>
      <c r="K15" s="299"/>
      <c r="L15" s="47"/>
    </row>
    <row r="16" spans="1:12">
      <c r="A16" s="803">
        <f t="shared" si="0"/>
        <v>4</v>
      </c>
      <c r="B16" s="487">
        <v>15560</v>
      </c>
      <c r="C16" s="4" t="s">
        <v>53</v>
      </c>
      <c r="D16" s="492">
        <f>'WP B.6 F'!P16</f>
        <v>0</v>
      </c>
      <c r="E16" s="690">
        <f>Allocation!C14</f>
        <v>0.1071</v>
      </c>
      <c r="F16" s="690">
        <f>Allocation!D14</f>
        <v>0.49090457251500325</v>
      </c>
      <c r="G16" s="492">
        <f>D16*E16*F16</f>
        <v>0</v>
      </c>
      <c r="H16" s="103"/>
      <c r="I16" s="496">
        <f>'WP B.6 F'!Q16</f>
        <v>0</v>
      </c>
      <c r="J16" s="571">
        <f>E16</f>
        <v>0.1071</v>
      </c>
      <c r="K16" s="571">
        <f>F16</f>
        <v>0.49090457251500325</v>
      </c>
      <c r="L16" s="492">
        <f>I16*J16*K16</f>
        <v>0</v>
      </c>
    </row>
    <row r="17" spans="1:12">
      <c r="A17" s="803">
        <f t="shared" si="0"/>
        <v>5</v>
      </c>
      <c r="B17" s="489"/>
      <c r="C17" s="4"/>
      <c r="D17" s="103"/>
      <c r="E17" s="231"/>
      <c r="F17" s="231"/>
      <c r="G17" s="103"/>
      <c r="H17" s="103"/>
      <c r="I17" s="100"/>
      <c r="J17" s="102"/>
      <c r="K17" s="102"/>
      <c r="L17" s="103"/>
    </row>
    <row r="18" spans="1:12" ht="15.75">
      <c r="A18" s="803">
        <f t="shared" si="0"/>
        <v>6</v>
      </c>
      <c r="B18" s="12" t="s">
        <v>1137</v>
      </c>
      <c r="D18" s="47"/>
      <c r="E18" s="299"/>
      <c r="F18" s="299"/>
      <c r="G18" s="496"/>
      <c r="I18" s="47"/>
      <c r="J18" s="299"/>
      <c r="K18" s="299"/>
      <c r="L18" s="47"/>
    </row>
    <row r="19" spans="1:12">
      <c r="A19" s="803">
        <f t="shared" si="0"/>
        <v>7</v>
      </c>
      <c r="B19" s="487">
        <v>15560</v>
      </c>
      <c r="C19" s="4" t="s">
        <v>53</v>
      </c>
      <c r="D19" s="492">
        <f>'WP B.6 F'!P19</f>
        <v>0</v>
      </c>
      <c r="E19" s="690">
        <f>Allocation!C15</f>
        <v>0.1086</v>
      </c>
      <c r="F19" s="690">
        <f>Allocation!D15</f>
        <v>0.52599015110063552</v>
      </c>
      <c r="G19" s="492">
        <f>D19*E19*F19</f>
        <v>0</v>
      </c>
      <c r="H19" s="103"/>
      <c r="I19" s="496">
        <f>'WP B.6 F'!Q19</f>
        <v>0</v>
      </c>
      <c r="J19" s="571">
        <f>E19</f>
        <v>0.1086</v>
      </c>
      <c r="K19" s="571">
        <f>F19</f>
        <v>0.52599015110063552</v>
      </c>
      <c r="L19" s="492">
        <f>I19*J19*K19</f>
        <v>0</v>
      </c>
    </row>
    <row r="20" spans="1:12">
      <c r="A20" s="803">
        <f t="shared" si="0"/>
        <v>8</v>
      </c>
      <c r="B20" s="489"/>
      <c r="C20" s="4"/>
      <c r="D20" s="103"/>
      <c r="E20" s="231"/>
      <c r="F20" s="231"/>
      <c r="G20" s="103"/>
      <c r="H20" s="103"/>
      <c r="I20" s="100"/>
      <c r="J20" s="102"/>
      <c r="K20" s="102"/>
      <c r="L20" s="103"/>
    </row>
    <row r="21" spans="1:12" ht="15.75">
      <c r="A21" s="803">
        <f t="shared" si="0"/>
        <v>9</v>
      </c>
      <c r="B21" s="12" t="s">
        <v>692</v>
      </c>
      <c r="D21" s="47"/>
      <c r="E21" s="299"/>
      <c r="F21" s="299"/>
      <c r="G21" s="100"/>
      <c r="I21" s="47"/>
      <c r="J21" s="299"/>
      <c r="K21" s="299"/>
      <c r="L21" s="47"/>
    </row>
    <row r="22" spans="1:12">
      <c r="A22" s="803">
        <f t="shared" si="0"/>
        <v>10</v>
      </c>
      <c r="B22" s="487">
        <v>15560</v>
      </c>
      <c r="C22" s="4" t="s">
        <v>53</v>
      </c>
      <c r="D22" s="103">
        <f>'WP B.6 F'!P22</f>
        <v>0</v>
      </c>
      <c r="E22" s="689">
        <v>1</v>
      </c>
      <c r="F22" s="690">
        <f>Allocation!D17</f>
        <v>0.49090457251500325</v>
      </c>
      <c r="G22" s="103">
        <f>D22*$E$22*F22</f>
        <v>0</v>
      </c>
      <c r="H22" s="103"/>
      <c r="I22" s="100">
        <f>'WP B.6 F'!Q22</f>
        <v>0</v>
      </c>
      <c r="J22" s="691">
        <f>$E$22</f>
        <v>1</v>
      </c>
      <c r="K22" s="538">
        <f>$F$22</f>
        <v>0.49090457251500325</v>
      </c>
      <c r="L22" s="103">
        <f>I22*J22*K22</f>
        <v>0</v>
      </c>
    </row>
    <row r="23" spans="1:12">
      <c r="A23" s="803">
        <f t="shared" si="0"/>
        <v>11</v>
      </c>
      <c r="B23" s="488"/>
      <c r="D23" s="103"/>
      <c r="E23" s="63"/>
      <c r="F23" s="63"/>
      <c r="G23" s="103"/>
      <c r="H23" s="103"/>
      <c r="I23" s="103"/>
      <c r="J23" s="103"/>
      <c r="K23" s="103"/>
      <c r="L23" s="103"/>
    </row>
    <row r="24" spans="1:12" ht="15.75" thickBot="1">
      <c r="A24" s="803">
        <f t="shared" si="0"/>
        <v>12</v>
      </c>
      <c r="C24" s="4" t="s">
        <v>736</v>
      </c>
      <c r="D24" s="425">
        <f>D22+D19+D16+D13</f>
        <v>-1767642.4683333335</v>
      </c>
      <c r="E24" s="47"/>
      <c r="F24" s="47"/>
      <c r="G24" s="425">
        <f>G22+G19+G16+G13</f>
        <v>-1767642.4683333335</v>
      </c>
      <c r="I24" s="425">
        <f>I22+I19+I16+I13</f>
        <v>-1767642.4683333335</v>
      </c>
      <c r="J24" s="47"/>
      <c r="K24" s="47"/>
      <c r="L24" s="425">
        <f>L22+L19+L16+L13</f>
        <v>-1767642.4683333335</v>
      </c>
    </row>
    <row r="25" spans="1:12" ht="15.75" thickTop="1"/>
    <row r="26" spans="1:12">
      <c r="A26" s="47"/>
      <c r="B26" s="47"/>
      <c r="C26" s="115"/>
      <c r="D26" s="47"/>
      <c r="E26" s="47"/>
      <c r="F26" s="47"/>
      <c r="G26" s="47"/>
      <c r="I26" s="47"/>
      <c r="J26" s="47"/>
      <c r="K26" s="47"/>
      <c r="L26" s="47"/>
    </row>
    <row r="27" spans="1:12">
      <c r="A27" s="47"/>
      <c r="B27" s="47"/>
      <c r="D27" s="47"/>
      <c r="E27" s="47"/>
      <c r="F27" s="47"/>
      <c r="G27" s="47"/>
      <c r="I27" s="47"/>
      <c r="J27" s="47"/>
      <c r="K27" s="47"/>
      <c r="L27" s="47"/>
    </row>
    <row r="28" spans="1:12">
      <c r="A28" s="47"/>
      <c r="B28" s="47"/>
      <c r="C28" s="491"/>
    </row>
    <row r="29" spans="1:12">
      <c r="A29" s="47"/>
      <c r="B29" s="47"/>
    </row>
    <row r="30" spans="1:12">
      <c r="A30" s="47"/>
      <c r="B30" s="47"/>
    </row>
    <row r="31" spans="1:12">
      <c r="A31" s="47"/>
      <c r="B31" s="47"/>
    </row>
    <row r="32" spans="1:12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  <row r="43" spans="1:2">
      <c r="A43" s="47"/>
      <c r="B43" s="47"/>
    </row>
    <row r="44" spans="1:2">
      <c r="A44" s="47"/>
      <c r="B44" s="4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RowHeight="15"/>
  <cols>
    <col min="1" max="1" width="4.33203125" bestFit="1" customWidth="1"/>
    <col min="2" max="2" width="44.21875" customWidth="1"/>
    <col min="3" max="3" width="12.5546875" bestFit="1" customWidth="1"/>
    <col min="4" max="4" width="12.6640625" bestFit="1" customWidth="1"/>
    <col min="5" max="7" width="12" bestFit="1" customWidth="1"/>
    <col min="8" max="8" width="12.44140625" customWidth="1"/>
    <col min="9" max="14" width="12" bestFit="1" customWidth="1"/>
    <col min="15" max="15" width="12.5546875" bestFit="1" customWidth="1"/>
    <col min="16" max="16" width="12" bestFit="1" customWidth="1"/>
    <col min="17" max="17" width="10.44140625" bestFit="1" customWidth="1"/>
    <col min="18" max="18" width="12" customWidth="1"/>
  </cols>
  <sheetData>
    <row r="1" spans="1:18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</row>
    <row r="2" spans="1:18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</row>
    <row r="3" spans="1:18">
      <c r="A3" s="1241" t="str">
        <f>'Table of Contents'!A4:C4</f>
        <v>Forecasted Test Period: Twelve Months Ended May 31, 2017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</row>
    <row r="4" spans="1:18">
      <c r="A4" s="1241" t="s">
        <v>117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</row>
    <row r="5" spans="1:18">
      <c r="P5" s="656" t="s">
        <v>1516</v>
      </c>
    </row>
    <row r="7" spans="1:18">
      <c r="A7" t="s">
        <v>98</v>
      </c>
      <c r="C7" s="76" t="s">
        <v>467</v>
      </c>
      <c r="D7" s="76" t="s">
        <v>467</v>
      </c>
      <c r="E7" s="76" t="s">
        <v>467</v>
      </c>
      <c r="F7" s="76" t="s">
        <v>467</v>
      </c>
      <c r="G7" s="76" t="s">
        <v>467</v>
      </c>
      <c r="H7" s="76" t="s">
        <v>44</v>
      </c>
      <c r="I7" s="1048" t="s">
        <v>44</v>
      </c>
      <c r="J7" s="1048" t="s">
        <v>44</v>
      </c>
      <c r="K7" s="1048" t="s">
        <v>44</v>
      </c>
      <c r="L7" s="1048" t="s">
        <v>44</v>
      </c>
      <c r="M7" s="1048" t="s">
        <v>44</v>
      </c>
      <c r="N7" s="1048" t="s">
        <v>44</v>
      </c>
      <c r="O7" s="1048" t="s">
        <v>44</v>
      </c>
      <c r="P7" s="76" t="s">
        <v>46</v>
      </c>
    </row>
    <row r="8" spans="1:18">
      <c r="A8" s="75" t="s">
        <v>104</v>
      </c>
      <c r="B8" s="75" t="s">
        <v>1004</v>
      </c>
      <c r="C8" s="450">
        <f>O8-366</f>
        <v>42520</v>
      </c>
      <c r="D8" s="450">
        <f>'C.2.2-F 09'!D10</f>
        <v>42551</v>
      </c>
      <c r="E8" s="450">
        <f>'C.2.2-F 09'!E10</f>
        <v>42582</v>
      </c>
      <c r="F8" s="450">
        <f>'C.2.2-F 09'!F10</f>
        <v>42613</v>
      </c>
      <c r="G8" s="450">
        <f>'C.2.2-F 09'!G10</f>
        <v>42643</v>
      </c>
      <c r="H8" s="450">
        <f>'C.2.2-F 09'!H10</f>
        <v>42674</v>
      </c>
      <c r="I8" s="450">
        <f>'C.2.2-F 09'!I10</f>
        <v>42704</v>
      </c>
      <c r="J8" s="450">
        <f>'C.2.2-F 09'!J10</f>
        <v>42735</v>
      </c>
      <c r="K8" s="450">
        <f>'C.2.2-F 09'!K10</f>
        <v>42766</v>
      </c>
      <c r="L8" s="450">
        <f>'C.2.2-F 09'!L10</f>
        <v>42794</v>
      </c>
      <c r="M8" s="450">
        <f>'C.2.2-F 09'!M10</f>
        <v>42825</v>
      </c>
      <c r="N8" s="450">
        <f>'C.2.2-F 09'!N10</f>
        <v>42855</v>
      </c>
      <c r="O8" s="450">
        <f>'C.2.2-F 09'!O10</f>
        <v>42886</v>
      </c>
      <c r="P8" s="84" t="s">
        <v>103</v>
      </c>
      <c r="Q8" s="771"/>
      <c r="R8" s="771"/>
    </row>
    <row r="10" spans="1:18" ht="15.75">
      <c r="A10" s="76">
        <v>1</v>
      </c>
      <c r="B10" s="379" t="s">
        <v>272</v>
      </c>
    </row>
    <row r="11" spans="1:18">
      <c r="A11" s="76">
        <v>2</v>
      </c>
      <c r="B11" s="95"/>
    </row>
    <row r="12" spans="1:18">
      <c r="A12" s="76">
        <v>3</v>
      </c>
      <c r="B12" s="95" t="s">
        <v>1192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8">
      <c r="A13" s="76">
        <v>4</v>
      </c>
      <c r="B13" s="413" t="s">
        <v>528</v>
      </c>
      <c r="C13" s="462">
        <f>[5]summary!Z21</f>
        <v>0</v>
      </c>
      <c r="D13" s="462">
        <f>[5]summary!AA21</f>
        <v>0</v>
      </c>
      <c r="E13" s="462">
        <f>[5]summary!AB21</f>
        <v>0</v>
      </c>
      <c r="F13" s="462">
        <f>[5]summary!AC21</f>
        <v>0</v>
      </c>
      <c r="G13" s="462">
        <f>[5]summary!AD21</f>
        <v>0</v>
      </c>
      <c r="H13" s="462">
        <f>[5]summary!AE21</f>
        <v>0</v>
      </c>
      <c r="I13" s="462">
        <f>[5]summary!AF21</f>
        <v>0</v>
      </c>
      <c r="J13" s="462">
        <f>[5]summary!AG21</f>
        <v>0</v>
      </c>
      <c r="K13" s="462">
        <f>[5]summary!AH21</f>
        <v>0</v>
      </c>
      <c r="L13" s="462">
        <f>[5]summary!AI21</f>
        <v>0</v>
      </c>
      <c r="M13" s="462">
        <f>[5]summary!AJ21</f>
        <v>0</v>
      </c>
      <c r="N13" s="462">
        <f>[5]summary!AK21</f>
        <v>0</v>
      </c>
      <c r="O13" s="462">
        <f>[5]summary!AL21</f>
        <v>0</v>
      </c>
      <c r="P13" s="106"/>
    </row>
    <row r="14" spans="1:18">
      <c r="A14" s="76">
        <v>5</v>
      </c>
      <c r="B14" s="413" t="s">
        <v>529</v>
      </c>
      <c r="C14" s="462">
        <f>[5]summary!Z22</f>
        <v>-740439.30500000005</v>
      </c>
      <c r="D14" s="462">
        <f>[5]summary!AA22</f>
        <v>-740439.30500000005</v>
      </c>
      <c r="E14" s="462">
        <f>[5]summary!AB22</f>
        <v>-740439.30500000005</v>
      </c>
      <c r="F14" s="462">
        <f>[5]summary!AC22</f>
        <v>-740439.30500000005</v>
      </c>
      <c r="G14" s="462">
        <f>[5]summary!AD22</f>
        <v>-740439.30500000005</v>
      </c>
      <c r="H14" s="462">
        <f>[5]summary!AE22</f>
        <v>-740439.30500000005</v>
      </c>
      <c r="I14" s="462">
        <f>[5]summary!AF22</f>
        <v>-740439.30500000005</v>
      </c>
      <c r="J14" s="462">
        <f>[5]summary!AG22</f>
        <v>-740439.30500000005</v>
      </c>
      <c r="K14" s="462">
        <f>[5]summary!AH22</f>
        <v>-740439.30500000005</v>
      </c>
      <c r="L14" s="462">
        <f>[5]summary!AI22</f>
        <v>-740439.30500000005</v>
      </c>
      <c r="M14" s="462">
        <f>[5]summary!AJ22</f>
        <v>-740439.30500000005</v>
      </c>
      <c r="N14" s="462">
        <f>[5]summary!AK22</f>
        <v>-740439.30500000005</v>
      </c>
      <c r="O14" s="462">
        <f>[5]summary!AL22</f>
        <v>-740439.30500000005</v>
      </c>
      <c r="P14" s="106"/>
    </row>
    <row r="15" spans="1:18">
      <c r="A15" s="76">
        <v>6</v>
      </c>
      <c r="B15" s="366" t="s">
        <v>530</v>
      </c>
      <c r="C15" s="964">
        <f t="shared" ref="C15" si="0">SUM(C13:C14)</f>
        <v>-740439.30500000005</v>
      </c>
      <c r="D15" s="965">
        <f t="shared" ref="D15:O15" si="1">SUM(D13:D14)</f>
        <v>-740439.30500000005</v>
      </c>
      <c r="E15" s="965">
        <f t="shared" si="1"/>
        <v>-740439.30500000005</v>
      </c>
      <c r="F15" s="965">
        <f t="shared" si="1"/>
        <v>-740439.30500000005</v>
      </c>
      <c r="G15" s="965">
        <f t="shared" si="1"/>
        <v>-740439.30500000005</v>
      </c>
      <c r="H15" s="965">
        <f t="shared" si="1"/>
        <v>-740439.30500000005</v>
      </c>
      <c r="I15" s="965">
        <f t="shared" si="1"/>
        <v>-740439.30500000005</v>
      </c>
      <c r="J15" s="965">
        <f t="shared" si="1"/>
        <v>-740439.30500000005</v>
      </c>
      <c r="K15" s="965">
        <f t="shared" si="1"/>
        <v>-740439.30500000005</v>
      </c>
      <c r="L15" s="965">
        <f t="shared" si="1"/>
        <v>-740439.30500000005</v>
      </c>
      <c r="M15" s="965">
        <f t="shared" si="1"/>
        <v>-740439.30500000005</v>
      </c>
      <c r="N15" s="965">
        <f t="shared" si="1"/>
        <v>-740439.30500000005</v>
      </c>
      <c r="O15" s="965">
        <f t="shared" si="1"/>
        <v>-740439.30500000005</v>
      </c>
      <c r="P15" s="448">
        <f>(SUM(C15:O15))/13</f>
        <v>-740439.30499999982</v>
      </c>
    </row>
    <row r="16" spans="1:18">
      <c r="A16" s="76">
        <v>7</v>
      </c>
      <c r="B16" s="4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3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3" t="s">
        <v>528</v>
      </c>
      <c r="C18" s="462">
        <f>[5]summary!Z16</f>
        <v>13098.344999999999</v>
      </c>
      <c r="D18" s="462">
        <f>[5]summary!AA16</f>
        <v>13098.344999999999</v>
      </c>
      <c r="E18" s="462">
        <f>[5]summary!AB16</f>
        <v>13098.344999999999</v>
      </c>
      <c r="F18" s="462">
        <f>[5]summary!AC16</f>
        <v>13098.344999999999</v>
      </c>
      <c r="G18" s="462">
        <f>[5]summary!AD16</f>
        <v>13098.344999999999</v>
      </c>
      <c r="H18" s="462">
        <f>[5]summary!AE16</f>
        <v>13098.344999999999</v>
      </c>
      <c r="I18" s="462">
        <f>[5]summary!AF16</f>
        <v>13098.344999999999</v>
      </c>
      <c r="J18" s="462">
        <f>[5]summary!AG16</f>
        <v>13098.344999999999</v>
      </c>
      <c r="K18" s="462">
        <f>[5]summary!AH16</f>
        <v>13098.344999999999</v>
      </c>
      <c r="L18" s="462">
        <f>[5]summary!AI16</f>
        <v>13098.344999999999</v>
      </c>
      <c r="M18" s="462">
        <f>[5]summary!AJ16</f>
        <v>13098.344999999999</v>
      </c>
      <c r="N18" s="462">
        <f>[5]summary!AK16</f>
        <v>13098.344999999999</v>
      </c>
      <c r="O18" s="462">
        <f>[5]summary!AL16</f>
        <v>13098.344999999999</v>
      </c>
      <c r="P18" s="106"/>
    </row>
    <row r="19" spans="1:16">
      <c r="A19" s="76">
        <v>10</v>
      </c>
      <c r="B19" s="413" t="s">
        <v>529</v>
      </c>
      <c r="C19" s="462">
        <f>[5]summary!Z17</f>
        <v>2488614.9400000004</v>
      </c>
      <c r="D19" s="462">
        <f>[5]summary!AA17</f>
        <v>2488614.9400000004</v>
      </c>
      <c r="E19" s="462">
        <f>[5]summary!AB17</f>
        <v>2488614.9400000004</v>
      </c>
      <c r="F19" s="462">
        <f>[5]summary!AC17</f>
        <v>2488614.9400000004</v>
      </c>
      <c r="G19" s="462">
        <f>[5]summary!AD17</f>
        <v>2488614.9400000004</v>
      </c>
      <c r="H19" s="462">
        <f>[5]summary!AE17</f>
        <v>2488614.9400000004</v>
      </c>
      <c r="I19" s="462">
        <f>[5]summary!AF17</f>
        <v>2488614.9400000004</v>
      </c>
      <c r="J19" s="462">
        <f>[5]summary!AG17</f>
        <v>2488614.9400000004</v>
      </c>
      <c r="K19" s="462">
        <f>[5]summary!AH17</f>
        <v>2488614.9400000004</v>
      </c>
      <c r="L19" s="462">
        <f>[5]summary!AI17</f>
        <v>2488614.9400000004</v>
      </c>
      <c r="M19" s="462">
        <f>[5]summary!AJ17</f>
        <v>2488614.9400000004</v>
      </c>
      <c r="N19" s="462">
        <f>[5]summary!AK17</f>
        <v>2488614.9400000004</v>
      </c>
      <c r="O19" s="462">
        <f>[5]summary!AL17</f>
        <v>1928124.151111111</v>
      </c>
      <c r="P19" s="106"/>
    </row>
    <row r="20" spans="1:16">
      <c r="A20" s="76">
        <v>11</v>
      </c>
      <c r="B20" s="366" t="s">
        <v>530</v>
      </c>
      <c r="C20" s="964">
        <f t="shared" ref="C20" si="2">SUM(C18:C19)</f>
        <v>2501713.2850000006</v>
      </c>
      <c r="D20" s="965">
        <f t="shared" ref="D20:O20" si="3">SUM(D18:D19)</f>
        <v>2501713.2850000006</v>
      </c>
      <c r="E20" s="965">
        <f t="shared" si="3"/>
        <v>2501713.2850000006</v>
      </c>
      <c r="F20" s="965">
        <f t="shared" si="3"/>
        <v>2501713.2850000006</v>
      </c>
      <c r="G20" s="965">
        <f t="shared" si="3"/>
        <v>2501713.2850000006</v>
      </c>
      <c r="H20" s="965">
        <f t="shared" si="3"/>
        <v>2501713.2850000006</v>
      </c>
      <c r="I20" s="965">
        <f t="shared" si="3"/>
        <v>2501713.2850000006</v>
      </c>
      <c r="J20" s="965">
        <f t="shared" si="3"/>
        <v>2501713.2850000006</v>
      </c>
      <c r="K20" s="965">
        <f t="shared" si="3"/>
        <v>2501713.2850000006</v>
      </c>
      <c r="L20" s="965">
        <f t="shared" si="3"/>
        <v>2501713.2850000006</v>
      </c>
      <c r="M20" s="965">
        <f t="shared" si="3"/>
        <v>2501713.2850000006</v>
      </c>
      <c r="N20" s="965">
        <f t="shared" si="3"/>
        <v>2501713.2850000006</v>
      </c>
      <c r="O20" s="965">
        <f t="shared" si="3"/>
        <v>1941222.496111111</v>
      </c>
      <c r="P20" s="448">
        <f>(SUM(C20:O20))/13</f>
        <v>2458598.6089316243</v>
      </c>
    </row>
    <row r="21" spans="1:16">
      <c r="A21" s="76">
        <v>12</v>
      </c>
      <c r="B21" s="41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3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3" t="s">
        <v>528</v>
      </c>
      <c r="C23" s="1153" t="str">
        <f>[5]summary!Z$6</f>
        <v xml:space="preserve"> 0</v>
      </c>
      <c r="D23" s="1153" t="str">
        <f>[5]summary!AA$6</f>
        <v xml:space="preserve"> 0</v>
      </c>
      <c r="E23" s="1153" t="str">
        <f>[5]summary!AB$6</f>
        <v xml:space="preserve"> 0</v>
      </c>
      <c r="F23" s="1153" t="str">
        <f>[5]summary!AC$6</f>
        <v xml:space="preserve"> 0</v>
      </c>
      <c r="G23" s="1153" t="str">
        <f>[5]summary!AD$6</f>
        <v xml:space="preserve"> 0</v>
      </c>
      <c r="H23" s="1153" t="str">
        <f>[5]summary!AE$6</f>
        <v xml:space="preserve"> 0</v>
      </c>
      <c r="I23" s="1153" t="str">
        <f>[5]summary!AF$6</f>
        <v xml:space="preserve"> 0</v>
      </c>
      <c r="J23" s="1153" t="str">
        <f>[5]summary!AG$6</f>
        <v xml:space="preserve"> 0</v>
      </c>
      <c r="K23" s="1153" t="str">
        <f>[5]summary!AH$6</f>
        <v xml:space="preserve"> 0</v>
      </c>
      <c r="L23" s="1153" t="str">
        <f>[5]summary!AI$6</f>
        <v xml:space="preserve"> 0</v>
      </c>
      <c r="M23" s="1153" t="str">
        <f>[5]summary!AJ$6</f>
        <v xml:space="preserve"> 0</v>
      </c>
      <c r="N23" s="1153" t="str">
        <f>[5]summary!AK$6</f>
        <v xml:space="preserve"> 0</v>
      </c>
      <c r="O23" s="1153" t="str">
        <f>[5]summary!AL$6</f>
        <v xml:space="preserve"> 0</v>
      </c>
      <c r="P23" s="106"/>
    </row>
    <row r="24" spans="1:16">
      <c r="A24" s="76">
        <v>15</v>
      </c>
      <c r="B24" s="413" t="s">
        <v>529</v>
      </c>
      <c r="C24" s="1153" t="str">
        <f>[5]summary!Z$7</f>
        <v>0</v>
      </c>
      <c r="D24" s="1153" t="str">
        <f>[5]summary!AA$7</f>
        <v>0</v>
      </c>
      <c r="E24" s="1153" t="str">
        <f>[5]summary!AB$7</f>
        <v>0</v>
      </c>
      <c r="F24" s="1153" t="str">
        <f>[5]summary!AC$7</f>
        <v>0</v>
      </c>
      <c r="G24" s="1153" t="str">
        <f>[5]summary!AD$7</f>
        <v>0</v>
      </c>
      <c r="H24" s="1153" t="str">
        <f>[5]summary!AE$7</f>
        <v>0</v>
      </c>
      <c r="I24" s="1153" t="str">
        <f>[5]summary!AF$7</f>
        <v>0</v>
      </c>
      <c r="J24" s="1153" t="str">
        <f>[5]summary!AG$7</f>
        <v>0</v>
      </c>
      <c r="K24" s="1153" t="str">
        <f>[5]summary!AH$7</f>
        <v>0</v>
      </c>
      <c r="L24" s="1153" t="str">
        <f>[5]summary!AI$7</f>
        <v>0</v>
      </c>
      <c r="M24" s="1153" t="str">
        <f>[5]summary!AJ$7</f>
        <v>0</v>
      </c>
      <c r="N24" s="1153" t="str">
        <f>[5]summary!AK$7</f>
        <v>0</v>
      </c>
      <c r="O24" s="1153" t="str">
        <f>[5]summary!AL$7</f>
        <v>0</v>
      </c>
      <c r="P24" s="106"/>
    </row>
    <row r="25" spans="1:16">
      <c r="A25" s="76">
        <v>16</v>
      </c>
      <c r="B25" s="366" t="s">
        <v>530</v>
      </c>
      <c r="C25" s="964">
        <f t="shared" ref="C25" si="4">SUM(C23:C24)</f>
        <v>0</v>
      </c>
      <c r="D25" s="965">
        <f t="shared" ref="D25:O25" si="5">SUM(D23:D24)</f>
        <v>0</v>
      </c>
      <c r="E25" s="965">
        <f t="shared" si="5"/>
        <v>0</v>
      </c>
      <c r="F25" s="965">
        <f t="shared" si="5"/>
        <v>0</v>
      </c>
      <c r="G25" s="965">
        <f t="shared" si="5"/>
        <v>0</v>
      </c>
      <c r="H25" s="965">
        <f t="shared" si="5"/>
        <v>0</v>
      </c>
      <c r="I25" s="965">
        <f t="shared" si="5"/>
        <v>0</v>
      </c>
      <c r="J25" s="965">
        <f t="shared" si="5"/>
        <v>0</v>
      </c>
      <c r="K25" s="965">
        <f t="shared" si="5"/>
        <v>0</v>
      </c>
      <c r="L25" s="965">
        <f t="shared" si="5"/>
        <v>0</v>
      </c>
      <c r="M25" s="965">
        <f t="shared" si="5"/>
        <v>0</v>
      </c>
      <c r="N25" s="965">
        <f t="shared" si="5"/>
        <v>0</v>
      </c>
      <c r="O25" s="965">
        <f t="shared" si="5"/>
        <v>0</v>
      </c>
      <c r="P25" s="448">
        <f>(SUM(C25:O25))/13</f>
        <v>0</v>
      </c>
    </row>
    <row r="26" spans="1:16">
      <c r="A26" s="76">
        <v>17</v>
      </c>
      <c r="B26" s="413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3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3" t="s">
        <v>528</v>
      </c>
      <c r="C28" s="1153" t="str">
        <f>[5]summary!Z$11</f>
        <v xml:space="preserve"> 0</v>
      </c>
      <c r="D28" s="1153" t="str">
        <f>[5]summary!AA$11</f>
        <v xml:space="preserve"> 0</v>
      </c>
      <c r="E28" s="1153" t="str">
        <f>[5]summary!AB$11</f>
        <v xml:space="preserve"> 0</v>
      </c>
      <c r="F28" s="1153" t="str">
        <f>[5]summary!AC$11</f>
        <v xml:space="preserve"> 0</v>
      </c>
      <c r="G28" s="1153" t="str">
        <f>[5]summary!AD$11</f>
        <v xml:space="preserve"> 0</v>
      </c>
      <c r="H28" s="1153" t="str">
        <f>[5]summary!AE$11</f>
        <v xml:space="preserve"> 0</v>
      </c>
      <c r="I28" s="1153" t="str">
        <f>[5]summary!AF$11</f>
        <v xml:space="preserve"> 0</v>
      </c>
      <c r="J28" s="1153" t="str">
        <f>[5]summary!AG$11</f>
        <v xml:space="preserve"> 0</v>
      </c>
      <c r="K28" s="1153" t="str">
        <f>[5]summary!AH$11</f>
        <v xml:space="preserve"> 0</v>
      </c>
      <c r="L28" s="1153" t="str">
        <f>[5]summary!AI$11</f>
        <v xml:space="preserve"> 0</v>
      </c>
      <c r="M28" s="1153" t="str">
        <f>[5]summary!AJ$11</f>
        <v xml:space="preserve"> 0</v>
      </c>
      <c r="N28" s="1153" t="str">
        <f>[5]summary!AK$11</f>
        <v xml:space="preserve"> 0</v>
      </c>
      <c r="O28" s="1153" t="str">
        <f>[5]summary!AL$11</f>
        <v xml:space="preserve"> 0</v>
      </c>
      <c r="P28" s="106"/>
    </row>
    <row r="29" spans="1:16">
      <c r="A29" s="76">
        <v>20</v>
      </c>
      <c r="B29" s="413" t="s">
        <v>529</v>
      </c>
      <c r="C29" s="1153" t="str">
        <f>[5]summary!Z$12</f>
        <v>0</v>
      </c>
      <c r="D29" s="1153" t="str">
        <f>[5]summary!AA$12</f>
        <v>0</v>
      </c>
      <c r="E29" s="1153" t="str">
        <f>[5]summary!AB$12</f>
        <v>0</v>
      </c>
      <c r="F29" s="1153" t="str">
        <f>[5]summary!AC$12</f>
        <v>0</v>
      </c>
      <c r="G29" s="1153" t="str">
        <f>[5]summary!AD$12</f>
        <v>0</v>
      </c>
      <c r="H29" s="1153" t="str">
        <f>[5]summary!AE$12</f>
        <v>0</v>
      </c>
      <c r="I29" s="1153" t="str">
        <f>[5]summary!AF$12</f>
        <v>0</v>
      </c>
      <c r="J29" s="1153" t="str">
        <f>[5]summary!AG$12</f>
        <v>0</v>
      </c>
      <c r="K29" s="1153" t="str">
        <f>[5]summary!AH$12</f>
        <v>0</v>
      </c>
      <c r="L29" s="1153" t="str">
        <f>[5]summary!AI$12</f>
        <v>0</v>
      </c>
      <c r="M29" s="1153" t="str">
        <f>[5]summary!AJ$12</f>
        <v>0</v>
      </c>
      <c r="N29" s="1153" t="str">
        <f>[5]summary!AK$12</f>
        <v>0</v>
      </c>
      <c r="O29" s="1153" t="str">
        <f>[5]summary!AL$12</f>
        <v>0</v>
      </c>
      <c r="P29" s="106"/>
    </row>
    <row r="30" spans="1:16">
      <c r="A30" s="76">
        <v>21</v>
      </c>
      <c r="B30" s="366" t="s">
        <v>530</v>
      </c>
      <c r="C30" s="965">
        <f t="shared" ref="C30:O30" si="6">SUM(C28:C29)</f>
        <v>0</v>
      </c>
      <c r="D30" s="965">
        <f t="shared" si="6"/>
        <v>0</v>
      </c>
      <c r="E30" s="965">
        <f t="shared" si="6"/>
        <v>0</v>
      </c>
      <c r="F30" s="965">
        <f t="shared" si="6"/>
        <v>0</v>
      </c>
      <c r="G30" s="965">
        <f t="shared" si="6"/>
        <v>0</v>
      </c>
      <c r="H30" s="965">
        <f t="shared" si="6"/>
        <v>0</v>
      </c>
      <c r="I30" s="965">
        <f t="shared" si="6"/>
        <v>0</v>
      </c>
      <c r="J30" s="965">
        <f t="shared" si="6"/>
        <v>0</v>
      </c>
      <c r="K30" s="965">
        <f t="shared" si="6"/>
        <v>0</v>
      </c>
      <c r="L30" s="965">
        <f t="shared" si="6"/>
        <v>0</v>
      </c>
      <c r="M30" s="965">
        <f t="shared" si="6"/>
        <v>0</v>
      </c>
      <c r="N30" s="965">
        <f t="shared" si="6"/>
        <v>0</v>
      </c>
      <c r="O30" s="965">
        <f t="shared" si="6"/>
        <v>0</v>
      </c>
      <c r="P30" s="448">
        <f>(SUM(C30:O30))/13</f>
        <v>0</v>
      </c>
    </row>
    <row r="31" spans="1:16">
      <c r="A31" s="76">
        <v>22</v>
      </c>
      <c r="B31" s="41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9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R33" s="771"/>
    </row>
    <row r="34" spans="1:18">
      <c r="A34" s="76">
        <v>25</v>
      </c>
      <c r="B34" s="1087" t="s">
        <v>1192</v>
      </c>
      <c r="C34" s="448">
        <f>'[6]Summary of Revenue'!$R$32</f>
        <v>1169008.1587094581</v>
      </c>
      <c r="D34" s="448">
        <f>'[6]Summary of Revenue'!T32</f>
        <v>4645004.3815427171</v>
      </c>
      <c r="E34" s="448">
        <f>'[6]Summary of Revenue'!U32</f>
        <v>8190532.056521466</v>
      </c>
      <c r="F34" s="448">
        <f>'[6]Summary of Revenue'!V32</f>
        <v>11757873.520408602</v>
      </c>
      <c r="G34" s="448">
        <f>'[6]Summary of Revenue'!W32</f>
        <v>15327941.707909286</v>
      </c>
      <c r="H34" s="448">
        <f>'[6]Summary of Revenue'!X32</f>
        <v>18933457.302386105</v>
      </c>
      <c r="I34" s="448">
        <f>'[6]Summary of Revenue'!Y32</f>
        <v>16512572.782011667</v>
      </c>
      <c r="J34" s="448">
        <f>'[6]Summary of Revenue'!Z32</f>
        <v>11008223.967648663</v>
      </c>
      <c r="K34" s="448">
        <f>'[6]Summary of Revenue'!AA32</f>
        <v>4260470.2198755667</v>
      </c>
      <c r="L34" s="448">
        <f>'[6]Summary of Revenue'!AB32</f>
        <v>-1939025.2301004119</v>
      </c>
      <c r="M34" s="448">
        <f>'[6]Summary of Revenue'!AC32</f>
        <v>-6716020.3248425219</v>
      </c>
      <c r="N34" s="448">
        <f>'[6]Summary of Revenue'!AD32</f>
        <v>-2960534.9316205308</v>
      </c>
      <c r="O34" s="448">
        <f>'[6]Summary of Revenue'!AE32</f>
        <v>794950.46160146035</v>
      </c>
      <c r="P34" s="448">
        <f>(SUM(C34:O34))/13</f>
        <v>6229573.3901578095</v>
      </c>
      <c r="Q34" s="1058"/>
      <c r="R34" s="771"/>
    </row>
    <row r="35" spans="1:18">
      <c r="A35" s="76">
        <v>26</v>
      </c>
      <c r="B35" s="413"/>
      <c r="C35" s="106"/>
      <c r="D35" s="106"/>
      <c r="E35" s="106"/>
      <c r="F35" s="106"/>
      <c r="G35" s="106"/>
      <c r="H35" s="106"/>
      <c r="I35" s="106"/>
      <c r="J35" s="106"/>
      <c r="K35" s="448"/>
      <c r="L35" s="448"/>
      <c r="M35" s="448"/>
      <c r="N35" s="448"/>
      <c r="O35" s="448"/>
      <c r="P35" s="106"/>
    </row>
    <row r="36" spans="1:18">
      <c r="A36" s="76">
        <v>27</v>
      </c>
      <c r="B36" s="413" t="s">
        <v>1193</v>
      </c>
      <c r="C36" s="448">
        <v>0</v>
      </c>
      <c r="D36" s="448">
        <v>0</v>
      </c>
      <c r="E36" s="448">
        <v>0</v>
      </c>
      <c r="F36" s="448">
        <v>0</v>
      </c>
      <c r="G36" s="448">
        <v>0</v>
      </c>
      <c r="H36" s="448">
        <v>0</v>
      </c>
      <c r="I36" s="448">
        <v>0</v>
      </c>
      <c r="J36" s="448">
        <v>0</v>
      </c>
      <c r="K36" s="448">
        <v>0</v>
      </c>
      <c r="L36" s="448">
        <v>0</v>
      </c>
      <c r="M36" s="448">
        <v>0</v>
      </c>
      <c r="N36" s="448">
        <v>0</v>
      </c>
      <c r="O36" s="448">
        <v>0</v>
      </c>
      <c r="P36" s="448">
        <f>(SUM(C36:O36))/13</f>
        <v>0</v>
      </c>
    </row>
    <row r="37" spans="1:18">
      <c r="A37" s="76">
        <v>28</v>
      </c>
      <c r="B37" s="41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3" t="s">
        <v>1194</v>
      </c>
      <c r="C38" s="448">
        <v>0</v>
      </c>
      <c r="D38" s="448">
        <v>0</v>
      </c>
      <c r="E38" s="448">
        <v>0</v>
      </c>
      <c r="F38" s="448">
        <v>0</v>
      </c>
      <c r="G38" s="448">
        <v>0</v>
      </c>
      <c r="H38" s="448">
        <v>0</v>
      </c>
      <c r="I38" s="448">
        <v>0</v>
      </c>
      <c r="J38" s="448">
        <v>0</v>
      </c>
      <c r="K38" s="448">
        <v>0</v>
      </c>
      <c r="L38" s="448">
        <v>0</v>
      </c>
      <c r="M38" s="448">
        <v>0</v>
      </c>
      <c r="N38" s="448">
        <v>0</v>
      </c>
      <c r="O38" s="448">
        <v>0</v>
      </c>
      <c r="P38" s="448">
        <f>(SUM(C38:O38))/13</f>
        <v>0</v>
      </c>
    </row>
    <row r="39" spans="1:18">
      <c r="A39" s="76">
        <v>30</v>
      </c>
      <c r="B39" s="413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3" t="s">
        <v>1195</v>
      </c>
      <c r="C40" s="448">
        <v>0</v>
      </c>
      <c r="D40" s="448">
        <v>0</v>
      </c>
      <c r="E40" s="448">
        <v>0</v>
      </c>
      <c r="F40" s="448">
        <v>0</v>
      </c>
      <c r="G40" s="448">
        <v>0</v>
      </c>
      <c r="H40" s="448">
        <v>0</v>
      </c>
      <c r="I40" s="448">
        <v>0</v>
      </c>
      <c r="J40" s="448">
        <v>0</v>
      </c>
      <c r="K40" s="448">
        <v>0</v>
      </c>
      <c r="L40" s="448">
        <v>0</v>
      </c>
      <c r="M40" s="448">
        <v>0</v>
      </c>
      <c r="N40" s="448">
        <v>0</v>
      </c>
      <c r="O40" s="448">
        <v>0</v>
      </c>
      <c r="P40" s="448">
        <f>(SUM(C40:O40))/13</f>
        <v>0</v>
      </c>
    </row>
    <row r="41" spans="1:18">
      <c r="A41" s="76">
        <v>32</v>
      </c>
      <c r="B41" s="36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9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3" t="s">
        <v>1192</v>
      </c>
      <c r="C44" s="462">
        <f>[5]summary!Z24</f>
        <v>198050.98500000002</v>
      </c>
      <c r="D44" s="462">
        <f>[5]summary!AA24</f>
        <v>198050.98500000002</v>
      </c>
      <c r="E44" s="462">
        <f>[5]summary!AB24</f>
        <v>198050.98500000002</v>
      </c>
      <c r="F44" s="462">
        <f>[5]summary!AC24</f>
        <v>198050.98500000002</v>
      </c>
      <c r="G44" s="462">
        <f>[5]summary!AD24</f>
        <v>198050.98500000002</v>
      </c>
      <c r="H44" s="462">
        <f>[5]summary!AE24</f>
        <v>198050.98500000002</v>
      </c>
      <c r="I44" s="462">
        <f>[5]summary!AF24</f>
        <v>198050.98500000002</v>
      </c>
      <c r="J44" s="462">
        <f>[5]summary!AG24</f>
        <v>198050.98500000002</v>
      </c>
      <c r="K44" s="462">
        <f>[5]summary!AH24</f>
        <v>198050.98500000002</v>
      </c>
      <c r="L44" s="462">
        <f>[5]summary!AI24</f>
        <v>198050.98500000002</v>
      </c>
      <c r="M44" s="462">
        <f>[5]summary!AJ24</f>
        <v>198050.98500000002</v>
      </c>
      <c r="N44" s="462">
        <f>[5]summary!AK24</f>
        <v>198050.98500000002</v>
      </c>
      <c r="O44" s="462">
        <f>[5]summary!AL24</f>
        <v>198050.98500000002</v>
      </c>
      <c r="P44" s="448">
        <f>(SUM(C44:O44))/13</f>
        <v>198050.98500000002</v>
      </c>
    </row>
    <row r="45" spans="1:18">
      <c r="A45" s="76">
        <v>36</v>
      </c>
      <c r="B45" s="413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3" t="s">
        <v>1193</v>
      </c>
      <c r="C46" s="462">
        <f>[5]summary!Z19</f>
        <v>2075.2800000000002</v>
      </c>
      <c r="D46" s="462">
        <f>[5]summary!AA19</f>
        <v>2075.2800000000002</v>
      </c>
      <c r="E46" s="462">
        <f>[5]summary!AB19</f>
        <v>2075.2800000000002</v>
      </c>
      <c r="F46" s="462">
        <f>[5]summary!AC19</f>
        <v>2075.2800000000002</v>
      </c>
      <c r="G46" s="462">
        <f>[5]summary!AD19</f>
        <v>2075.2800000000002</v>
      </c>
      <c r="H46" s="462">
        <f>[5]summary!AE19</f>
        <v>2075.2800000000002</v>
      </c>
      <c r="I46" s="462">
        <f>[5]summary!AF19</f>
        <v>2075.2800000000002</v>
      </c>
      <c r="J46" s="462">
        <f>[5]summary!AG19</f>
        <v>2075.2800000000002</v>
      </c>
      <c r="K46" s="462">
        <f>[5]summary!AH19</f>
        <v>2075.2800000000002</v>
      </c>
      <c r="L46" s="462">
        <f>[5]summary!AI19</f>
        <v>2075.2800000000002</v>
      </c>
      <c r="M46" s="462">
        <f>[5]summary!AJ19</f>
        <v>2075.2800000000002</v>
      </c>
      <c r="N46" s="462">
        <f>[5]summary!AK19</f>
        <v>2075.2800000000002</v>
      </c>
      <c r="O46" s="462">
        <f>[5]summary!AL19</f>
        <v>16870.152857142857</v>
      </c>
      <c r="P46" s="448">
        <f>(SUM(C46:O46))/13</f>
        <v>3213.3471428571424</v>
      </c>
    </row>
    <row r="47" spans="1:18">
      <c r="A47" s="76">
        <v>38</v>
      </c>
      <c r="B47" s="41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3" t="s">
        <v>1194</v>
      </c>
      <c r="C48" s="462">
        <f>[5]summary!Z9</f>
        <v>25758680.050000001</v>
      </c>
      <c r="D48" s="462">
        <f>[5]summary!AA9</f>
        <v>25758680.050000001</v>
      </c>
      <c r="E48" s="462">
        <f>[5]summary!AB9</f>
        <v>25758680.050000001</v>
      </c>
      <c r="F48" s="462">
        <f>[5]summary!AC9</f>
        <v>25758680.050000001</v>
      </c>
      <c r="G48" s="462">
        <f>[5]summary!AD9</f>
        <v>25758680.050000001</v>
      </c>
      <c r="H48" s="462">
        <f>[5]summary!AE9</f>
        <v>25758680.050000001</v>
      </c>
      <c r="I48" s="462">
        <f>[5]summary!AF9</f>
        <v>25758680.050000001</v>
      </c>
      <c r="J48" s="462">
        <f>[5]summary!AG9</f>
        <v>25758680.050000001</v>
      </c>
      <c r="K48" s="462">
        <f>[5]summary!AH9</f>
        <v>25758680.050000001</v>
      </c>
      <c r="L48" s="462">
        <f>[5]summary!AI9</f>
        <v>25758680.050000001</v>
      </c>
      <c r="M48" s="462">
        <f>[5]summary!AJ9</f>
        <v>25758680.050000001</v>
      </c>
      <c r="N48" s="462">
        <f>[5]summary!AK9</f>
        <v>25758680.050000001</v>
      </c>
      <c r="O48" s="462">
        <f>[5]summary!AL9</f>
        <v>25758680.050000001</v>
      </c>
      <c r="P48" s="448">
        <f>(SUM(C48:O48))/13</f>
        <v>25758680.050000008</v>
      </c>
    </row>
    <row r="49" spans="1:16">
      <c r="A49" s="76">
        <v>40</v>
      </c>
      <c r="B49" s="41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3" t="s">
        <v>1195</v>
      </c>
      <c r="C50" s="1153" t="str">
        <f>[5]summary!Z$14</f>
        <v xml:space="preserve"> 0</v>
      </c>
      <c r="D50" s="1153" t="str">
        <f>[5]summary!AA$14</f>
        <v xml:space="preserve"> 0</v>
      </c>
      <c r="E50" s="1153" t="str">
        <f>[5]summary!AB$14</f>
        <v xml:space="preserve"> 0</v>
      </c>
      <c r="F50" s="1153" t="str">
        <f>[5]summary!AC$14</f>
        <v xml:space="preserve"> 0</v>
      </c>
      <c r="G50" s="1153" t="str">
        <f>[5]summary!AD$14</f>
        <v xml:space="preserve"> 0</v>
      </c>
      <c r="H50" s="1153" t="str">
        <f>[5]summary!AE$14</f>
        <v xml:space="preserve"> 0</v>
      </c>
      <c r="I50" s="1153" t="str">
        <f>[5]summary!AF$14</f>
        <v xml:space="preserve"> 0</v>
      </c>
      <c r="J50" s="1153" t="str">
        <f>[5]summary!AG$14</f>
        <v xml:space="preserve"> 0</v>
      </c>
      <c r="K50" s="1153" t="str">
        <f>[5]summary!AH$14</f>
        <v xml:space="preserve"> 0</v>
      </c>
      <c r="L50" s="1153" t="str">
        <f>[5]summary!AI$14</f>
        <v xml:space="preserve"> 0</v>
      </c>
      <c r="M50" s="1153" t="str">
        <f>[5]summary!AJ$14</f>
        <v xml:space="preserve"> 0</v>
      </c>
      <c r="N50" s="1153" t="str">
        <f>[5]summary!AK$14</f>
        <v xml:space="preserve"> 0</v>
      </c>
      <c r="O50" s="1153" t="str">
        <f>[5]summary!AL$14</f>
        <v xml:space="preserve"> 0</v>
      </c>
      <c r="P50" s="448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1:16"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5" spans="1:16">
      <c r="B55" t="s">
        <v>533</v>
      </c>
      <c r="C55" s="771"/>
    </row>
    <row r="56" spans="1:16">
      <c r="B56" t="s">
        <v>1559</v>
      </c>
      <c r="C56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F59" sqref="F59"/>
      <selection pane="topRight" activeCell="F59" sqref="F59"/>
      <selection pane="bottomLeft" activeCell="F59" sqref="F59"/>
      <selection pane="bottomRight" activeCell="L13" sqref="L13"/>
    </sheetView>
  </sheetViews>
  <sheetFormatPr defaultRowHeight="15"/>
  <cols>
    <col min="1" max="1" width="4.33203125" bestFit="1" customWidth="1"/>
    <col min="2" max="2" width="44.21875" customWidth="1"/>
    <col min="3" max="11" width="12" bestFit="1" customWidth="1"/>
    <col min="12" max="12" width="12.6640625" customWidth="1"/>
    <col min="13" max="13" width="12.5546875" bestFit="1" customWidth="1"/>
    <col min="14" max="14" width="12" bestFit="1" customWidth="1"/>
    <col min="15" max="15" width="11.88671875" customWidth="1"/>
    <col min="16" max="16" width="12" bestFit="1" customWidth="1"/>
    <col min="17" max="17" width="10.44140625" bestFit="1" customWidth="1"/>
    <col min="18" max="18" width="7.109375" customWidth="1"/>
  </cols>
  <sheetData>
    <row r="1" spans="1:18">
      <c r="A1" s="1241" t="str">
        <f>'Table of Contents'!A1:C1</f>
        <v>Atmos Energy Corporation, Kentucky/Mid-States Division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</row>
    <row r="2" spans="1:18">
      <c r="A2" s="1241" t="str">
        <f>'Table of Contents'!A2:C2</f>
        <v>Kentucky Jurisdiction Case No. 2015-00343</v>
      </c>
      <c r="B2" s="1241"/>
      <c r="C2" s="1241"/>
      <c r="D2" s="1241"/>
      <c r="E2" s="1241"/>
      <c r="F2" s="1241"/>
      <c r="G2" s="1241"/>
      <c r="H2" s="1241"/>
      <c r="I2" s="1241"/>
      <c r="J2" s="1241"/>
      <c r="K2" s="1241"/>
      <c r="L2" s="1241"/>
      <c r="M2" s="1241"/>
      <c r="N2" s="1241"/>
      <c r="O2" s="1241"/>
      <c r="P2" s="1241"/>
    </row>
    <row r="3" spans="1:18">
      <c r="A3" s="1241" t="str">
        <f>'Table of Contents'!A3:C3</f>
        <v>Base Period: Twelve Months Ended February 29, 2016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</row>
    <row r="4" spans="1:18">
      <c r="A4" s="1241" t="s">
        <v>117</v>
      </c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1"/>
      <c r="P4" s="1241"/>
    </row>
    <row r="5" spans="1:18">
      <c r="P5" s="656" t="s">
        <v>1516</v>
      </c>
    </row>
    <row r="6" spans="1:18">
      <c r="K6" s="106"/>
      <c r="L6" s="106"/>
      <c r="M6" s="106"/>
      <c r="N6" s="106"/>
      <c r="O6" s="106"/>
    </row>
    <row r="7" spans="1:18">
      <c r="A7" t="s">
        <v>98</v>
      </c>
      <c r="C7" s="76" t="s">
        <v>112</v>
      </c>
      <c r="D7" s="76" t="s">
        <v>112</v>
      </c>
      <c r="E7" s="76" t="s">
        <v>112</v>
      </c>
      <c r="F7" s="76" t="s">
        <v>112</v>
      </c>
      <c r="G7" s="76" t="s">
        <v>112</v>
      </c>
      <c r="H7" s="76" t="s">
        <v>112</v>
      </c>
      <c r="I7" s="76" t="s">
        <v>112</v>
      </c>
      <c r="J7" s="895" t="s">
        <v>1453</v>
      </c>
      <c r="K7" s="76" t="s">
        <v>467</v>
      </c>
      <c r="L7" s="76" t="s">
        <v>467</v>
      </c>
      <c r="M7" s="76" t="s">
        <v>467</v>
      </c>
      <c r="N7" s="76" t="s">
        <v>467</v>
      </c>
      <c r="O7" s="76" t="s">
        <v>467</v>
      </c>
      <c r="P7" s="76" t="s">
        <v>46</v>
      </c>
    </row>
    <row r="8" spans="1:18">
      <c r="A8" s="75" t="s">
        <v>104</v>
      </c>
      <c r="B8" s="75" t="s">
        <v>1004</v>
      </c>
      <c r="C8" s="450">
        <f>O8-366</f>
        <v>42063</v>
      </c>
      <c r="D8" s="450">
        <f>'C.2.2 B 09'!D10</f>
        <v>42094</v>
      </c>
      <c r="E8" s="450">
        <f>'C.2.2 B 09'!E10</f>
        <v>42095</v>
      </c>
      <c r="F8" s="450">
        <f>'C.2.2 B 09'!F10</f>
        <v>42155</v>
      </c>
      <c r="G8" s="450">
        <f>'C.2.2 B 09'!G10</f>
        <v>42185</v>
      </c>
      <c r="H8" s="450">
        <f>'C.2.2 B 09'!H10</f>
        <v>42216</v>
      </c>
      <c r="I8" s="450">
        <f>'C.2.2 B 09'!I10</f>
        <v>42247</v>
      </c>
      <c r="J8" s="450">
        <f>'C.2.2 B 09'!J10</f>
        <v>42277</v>
      </c>
      <c r="K8" s="450">
        <f>'C.2.2 B 09'!K10</f>
        <v>42308</v>
      </c>
      <c r="L8" s="450">
        <f>'C.2.2 B 09'!L10</f>
        <v>42338</v>
      </c>
      <c r="M8" s="450">
        <f>'C.2.2 B 09'!M10</f>
        <v>42369</v>
      </c>
      <c r="N8" s="450">
        <f>'C.2.2 B 09'!N10</f>
        <v>42400</v>
      </c>
      <c r="O8" s="450">
        <f>'C.2.2 B 09'!O10</f>
        <v>42429</v>
      </c>
      <c r="P8" s="84" t="s">
        <v>103</v>
      </c>
      <c r="Q8" s="771"/>
      <c r="R8" s="771"/>
    </row>
    <row r="10" spans="1:18" ht="15.75">
      <c r="A10" s="76">
        <v>1</v>
      </c>
      <c r="B10" s="379" t="s">
        <v>272</v>
      </c>
    </row>
    <row r="11" spans="1:18">
      <c r="A11" s="76">
        <v>2</v>
      </c>
      <c r="B11" s="95"/>
      <c r="R11" s="1060"/>
    </row>
    <row r="12" spans="1:18">
      <c r="A12" s="76">
        <v>3</v>
      </c>
      <c r="B12" s="95" t="s">
        <v>1192</v>
      </c>
    </row>
    <row r="13" spans="1:18">
      <c r="A13" s="76">
        <v>4</v>
      </c>
      <c r="B13" s="413" t="s">
        <v>528</v>
      </c>
      <c r="C13" s="462">
        <f>[5]summary!K$21</f>
        <v>5563.52</v>
      </c>
      <c r="D13" s="462">
        <f>[5]summary!L$21</f>
        <v>5563.52</v>
      </c>
      <c r="E13" s="462">
        <f>[5]summary!M$21</f>
        <v>5563.52</v>
      </c>
      <c r="F13" s="462">
        <f>[5]summary!N$21</f>
        <v>5563.52</v>
      </c>
      <c r="G13" s="462">
        <f>[5]summary!O$21</f>
        <v>5563.52</v>
      </c>
      <c r="H13" s="462">
        <f>[5]summary!P$21</f>
        <v>5563.52</v>
      </c>
      <c r="I13" s="462">
        <f>[5]summary!Q$21</f>
        <v>0</v>
      </c>
      <c r="J13" s="462">
        <f>[5]summary!R$21</f>
        <v>0</v>
      </c>
      <c r="K13" s="462">
        <f>[5]summary!S$21</f>
        <v>0</v>
      </c>
      <c r="L13" s="462">
        <f>[5]summary!T$21</f>
        <v>0</v>
      </c>
      <c r="M13" s="462">
        <f>[5]summary!U$21</f>
        <v>0</v>
      </c>
      <c r="N13" s="462">
        <f>[5]summary!V$21</f>
        <v>0</v>
      </c>
      <c r="O13" s="462">
        <f>[5]summary!W$21</f>
        <v>0</v>
      </c>
      <c r="P13" s="106"/>
      <c r="R13" s="1060"/>
    </row>
    <row r="14" spans="1:18">
      <c r="A14" s="76">
        <v>5</v>
      </c>
      <c r="B14" s="413" t="s">
        <v>529</v>
      </c>
      <c r="C14" s="462">
        <f>[5]summary!K$22</f>
        <v>-500810.19</v>
      </c>
      <c r="D14" s="462">
        <f>[5]summary!L$22</f>
        <v>-575556.61</v>
      </c>
      <c r="E14" s="462">
        <f>[5]summary!M$22</f>
        <v>-611030.01</v>
      </c>
      <c r="F14" s="462">
        <f>[5]summary!N$22</f>
        <v>-644324.44999999995</v>
      </c>
      <c r="G14" s="462">
        <f>[5]summary!O$22</f>
        <v>-717349.28</v>
      </c>
      <c r="H14" s="462">
        <f>[5]summary!P$22</f>
        <v>-852522.74</v>
      </c>
      <c r="I14" s="462">
        <f>[5]summary!Q$22</f>
        <v>-1041852.7400000001</v>
      </c>
      <c r="J14" s="462">
        <f>[5]summary!R$22</f>
        <v>-740439.30500000005</v>
      </c>
      <c r="K14" s="462">
        <f>[5]summary!S$22</f>
        <v>-740439.30500000005</v>
      </c>
      <c r="L14" s="462">
        <f>[5]summary!T$22</f>
        <v>-740439.30500000005</v>
      </c>
      <c r="M14" s="462">
        <f>[5]summary!U$22</f>
        <v>-740439.30500000005</v>
      </c>
      <c r="N14" s="462">
        <f>[5]summary!V$22</f>
        <v>-740439.30500000005</v>
      </c>
      <c r="O14" s="462">
        <f>[5]summary!W$22</f>
        <v>-740439.30500000005</v>
      </c>
      <c r="P14" s="106"/>
    </row>
    <row r="15" spans="1:18">
      <c r="A15" s="76">
        <v>6</v>
      </c>
      <c r="B15" s="366" t="s">
        <v>530</v>
      </c>
      <c r="C15" s="964">
        <f>SUM(C13:C14)</f>
        <v>-495246.67</v>
      </c>
      <c r="D15" s="964">
        <f t="shared" ref="D15:O15" si="0">SUM(D13:D14)</f>
        <v>-569993.09</v>
      </c>
      <c r="E15" s="964">
        <f t="shared" si="0"/>
        <v>-605466.49</v>
      </c>
      <c r="F15" s="964">
        <f t="shared" si="0"/>
        <v>-638760.92999999993</v>
      </c>
      <c r="G15" s="964">
        <f t="shared" si="0"/>
        <v>-711785.76</v>
      </c>
      <c r="H15" s="964">
        <f t="shared" si="0"/>
        <v>-846959.22</v>
      </c>
      <c r="I15" s="964">
        <f t="shared" si="0"/>
        <v>-1041852.7400000001</v>
      </c>
      <c r="J15" s="964">
        <f t="shared" si="0"/>
        <v>-740439.30500000005</v>
      </c>
      <c r="K15" s="964">
        <f t="shared" si="0"/>
        <v>-740439.30500000005</v>
      </c>
      <c r="L15" s="964">
        <f t="shared" si="0"/>
        <v>-740439.30500000005</v>
      </c>
      <c r="M15" s="964">
        <f t="shared" si="0"/>
        <v>-740439.30500000005</v>
      </c>
      <c r="N15" s="964">
        <f t="shared" si="0"/>
        <v>-740439.30500000005</v>
      </c>
      <c r="O15" s="964">
        <f t="shared" si="0"/>
        <v>-740439.30500000005</v>
      </c>
      <c r="P15" s="462">
        <f>(SUM(C15:O15))/13</f>
        <v>-719438.51769230759</v>
      </c>
    </row>
    <row r="16" spans="1:18">
      <c r="A16" s="76">
        <v>7</v>
      </c>
      <c r="B16" s="413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>
      <c r="A17" s="76">
        <v>8</v>
      </c>
      <c r="B17" s="413" t="s">
        <v>1193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>
      <c r="A18" s="76">
        <v>9</v>
      </c>
      <c r="B18" s="413" t="s">
        <v>528</v>
      </c>
      <c r="C18" s="462">
        <f>[5]summary!K$16</f>
        <v>13310.38</v>
      </c>
      <c r="D18" s="462">
        <f>[5]summary!L$16</f>
        <v>13310.38</v>
      </c>
      <c r="E18" s="462">
        <f>[5]summary!M$16</f>
        <v>13310.38</v>
      </c>
      <c r="F18" s="462">
        <f>[5]summary!N$16</f>
        <v>13310.38</v>
      </c>
      <c r="G18" s="462">
        <f>[5]summary!O$16</f>
        <v>13310.38</v>
      </c>
      <c r="H18" s="462">
        <f>[5]summary!P$16</f>
        <v>13310.38</v>
      </c>
      <c r="I18" s="462">
        <f>[5]summary!Q$16</f>
        <v>12038.17</v>
      </c>
      <c r="J18" s="462">
        <f>[5]summary!R$16</f>
        <v>13098.344999999999</v>
      </c>
      <c r="K18" s="462">
        <f>[5]summary!S$16</f>
        <v>13098.344999999999</v>
      </c>
      <c r="L18" s="462">
        <f>[5]summary!T$16</f>
        <v>13098.344999999999</v>
      </c>
      <c r="M18" s="462">
        <f>[5]summary!U$16</f>
        <v>13098.344999999999</v>
      </c>
      <c r="N18" s="462">
        <f>[5]summary!V$16</f>
        <v>13098.344999999999</v>
      </c>
      <c r="O18" s="462">
        <f>[5]summary!W$16</f>
        <v>13098.344999999999</v>
      </c>
      <c r="P18" s="106"/>
    </row>
    <row r="19" spans="1:16">
      <c r="A19" s="76">
        <v>10</v>
      </c>
      <c r="B19" s="413" t="s">
        <v>529</v>
      </c>
      <c r="C19" s="462">
        <f>[5]summary!K$17</f>
        <v>2243598.2300000004</v>
      </c>
      <c r="D19" s="462">
        <f>[5]summary!L$17</f>
        <v>2305206.9200000004</v>
      </c>
      <c r="E19" s="462">
        <f>[5]summary!M$17</f>
        <v>2380226.9500000016</v>
      </c>
      <c r="F19" s="462">
        <f>[5]summary!N$17</f>
        <v>2437363.2200000002</v>
      </c>
      <c r="G19" s="462">
        <f>[5]summary!O$17</f>
        <v>2518066.62</v>
      </c>
      <c r="H19" s="462">
        <f>[5]summary!P$17</f>
        <v>2603641.7300000004</v>
      </c>
      <c r="I19" s="462">
        <f>[5]summary!Q$17</f>
        <v>2687184.2000000011</v>
      </c>
      <c r="J19" s="462">
        <f>[5]summary!R$17</f>
        <v>2488614.9400000004</v>
      </c>
      <c r="K19" s="462">
        <f>[5]summary!S$17</f>
        <v>2488614.9400000004</v>
      </c>
      <c r="L19" s="462">
        <f>[5]summary!T$17</f>
        <v>2488614.9400000004</v>
      </c>
      <c r="M19" s="462">
        <f>[5]summary!U$17</f>
        <v>2488614.9400000004</v>
      </c>
      <c r="N19" s="462">
        <f>[5]summary!V$17</f>
        <v>2488614.9400000004</v>
      </c>
      <c r="O19" s="462">
        <f>[5]summary!W$17</f>
        <v>2488614.9400000004</v>
      </c>
      <c r="P19" s="106"/>
    </row>
    <row r="20" spans="1:16">
      <c r="A20" s="76">
        <v>11</v>
      </c>
      <c r="B20" s="366" t="s">
        <v>530</v>
      </c>
      <c r="C20" s="964">
        <f>SUM(C18:C19)</f>
        <v>2256908.6100000003</v>
      </c>
      <c r="D20" s="964">
        <f t="shared" ref="D20:O20" si="1">SUM(D18:D19)</f>
        <v>2318517.3000000003</v>
      </c>
      <c r="E20" s="964">
        <f t="shared" si="1"/>
        <v>2393537.3300000015</v>
      </c>
      <c r="F20" s="964">
        <f t="shared" si="1"/>
        <v>2450673.6</v>
      </c>
      <c r="G20" s="964">
        <f t="shared" si="1"/>
        <v>2531377</v>
      </c>
      <c r="H20" s="964">
        <f t="shared" si="1"/>
        <v>2616952.1100000003</v>
      </c>
      <c r="I20" s="964">
        <f t="shared" si="1"/>
        <v>2699222.370000001</v>
      </c>
      <c r="J20" s="964">
        <f t="shared" si="1"/>
        <v>2501713.2850000006</v>
      </c>
      <c r="K20" s="964">
        <f t="shared" si="1"/>
        <v>2501713.2850000006</v>
      </c>
      <c r="L20" s="964">
        <f t="shared" si="1"/>
        <v>2501713.2850000006</v>
      </c>
      <c r="M20" s="964">
        <f t="shared" si="1"/>
        <v>2501713.2850000006</v>
      </c>
      <c r="N20" s="964">
        <f t="shared" si="1"/>
        <v>2501713.2850000006</v>
      </c>
      <c r="O20" s="964">
        <f t="shared" si="1"/>
        <v>2501713.2850000006</v>
      </c>
      <c r="P20" s="462">
        <f>(SUM(C20:O20))/13</f>
        <v>2482882.1561538465</v>
      </c>
    </row>
    <row r="21" spans="1:16">
      <c r="A21" s="76">
        <v>12</v>
      </c>
      <c r="B21" s="413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>
      <c r="A22" s="76">
        <v>13</v>
      </c>
      <c r="B22" s="413" t="s">
        <v>1194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>
      <c r="A23" s="76">
        <v>14</v>
      </c>
      <c r="B23" s="413" t="s">
        <v>528</v>
      </c>
      <c r="C23" s="1153" t="str">
        <f>[5]summary!K6</f>
        <v>0</v>
      </c>
      <c r="D23" s="1153" t="str">
        <f>[5]summary!L6</f>
        <v>0</v>
      </c>
      <c r="E23" s="1153" t="str">
        <f>[5]summary!M6</f>
        <v>0</v>
      </c>
      <c r="F23" s="1153" t="str">
        <f>[5]summary!N6</f>
        <v>0</v>
      </c>
      <c r="G23" s="1153" t="str">
        <f>[5]summary!O6</f>
        <v>0</v>
      </c>
      <c r="H23" s="1153">
        <f>[5]summary!P6</f>
        <v>0</v>
      </c>
      <c r="I23" s="1153" t="str">
        <f>[5]summary!Q6</f>
        <v xml:space="preserve"> 0</v>
      </c>
      <c r="J23" s="1153" t="str">
        <f>[5]summary!R6</f>
        <v xml:space="preserve"> 0</v>
      </c>
      <c r="K23" s="1153" t="str">
        <f>[5]summary!S6</f>
        <v xml:space="preserve"> 0</v>
      </c>
      <c r="L23" s="1153" t="str">
        <f>[5]summary!T6</f>
        <v xml:space="preserve"> 0</v>
      </c>
      <c r="M23" s="1153" t="str">
        <f>[5]summary!U6</f>
        <v xml:space="preserve"> 0</v>
      </c>
      <c r="N23" s="1153" t="str">
        <f>[5]summary!V6</f>
        <v xml:space="preserve"> 0</v>
      </c>
      <c r="O23" s="1153" t="str">
        <f>[5]summary!W6</f>
        <v xml:space="preserve"> 0</v>
      </c>
      <c r="P23" s="106"/>
    </row>
    <row r="24" spans="1:16">
      <c r="A24" s="76">
        <v>15</v>
      </c>
      <c r="B24" s="413" t="s">
        <v>529</v>
      </c>
      <c r="C24" s="1153">
        <f>[5]summary!K7</f>
        <v>-1.0000000004652065E-2</v>
      </c>
      <c r="D24" s="1153">
        <f>[5]summary!L7</f>
        <v>1.0000000006016307E-2</v>
      </c>
      <c r="E24" s="1153">
        <f>[5]summary!M7</f>
        <v>-9.9999999738429324E-3</v>
      </c>
      <c r="F24" s="1153">
        <f>[5]summary!N7</f>
        <v>0</v>
      </c>
      <c r="G24" s="1153">
        <f>[5]summary!O7</f>
        <v>2.9558577807620168E-12</v>
      </c>
      <c r="H24" s="1153">
        <f>[5]summary!P7</f>
        <v>1.0000000010450094E-2</v>
      </c>
      <c r="I24" s="1153" t="str">
        <f>[5]summary!Q7</f>
        <v>0</v>
      </c>
      <c r="J24" s="1153" t="str">
        <f>[5]summary!R7</f>
        <v>0</v>
      </c>
      <c r="K24" s="1153" t="str">
        <f>[5]summary!S7</f>
        <v>0</v>
      </c>
      <c r="L24" s="1153" t="str">
        <f>[5]summary!T7</f>
        <v>0</v>
      </c>
      <c r="M24" s="1153" t="str">
        <f>[5]summary!U7</f>
        <v>0</v>
      </c>
      <c r="N24" s="1153" t="str">
        <f>[5]summary!V7</f>
        <v>0</v>
      </c>
      <c r="O24" s="1153" t="str">
        <f>[5]summary!W7</f>
        <v>0</v>
      </c>
      <c r="P24" s="106"/>
    </row>
    <row r="25" spans="1:16">
      <c r="A25" s="76">
        <v>16</v>
      </c>
      <c r="B25" s="366" t="s">
        <v>530</v>
      </c>
      <c r="C25" s="964">
        <f>SUM(C23:C24)</f>
        <v>-1.0000000004652065E-2</v>
      </c>
      <c r="D25" s="964">
        <f t="shared" ref="D25:O25" si="2">SUM(D23:D24)</f>
        <v>1.0000000006016307E-2</v>
      </c>
      <c r="E25" s="964">
        <f t="shared" si="2"/>
        <v>-9.9999999738429324E-3</v>
      </c>
      <c r="F25" s="964">
        <f t="shared" si="2"/>
        <v>0</v>
      </c>
      <c r="G25" s="964">
        <f t="shared" si="2"/>
        <v>2.9558577807620168E-12</v>
      </c>
      <c r="H25" s="964">
        <f t="shared" si="2"/>
        <v>1.0000000010450094E-2</v>
      </c>
      <c r="I25" s="964">
        <f t="shared" si="2"/>
        <v>0</v>
      </c>
      <c r="J25" s="964">
        <f t="shared" si="2"/>
        <v>0</v>
      </c>
      <c r="K25" s="964">
        <f t="shared" si="2"/>
        <v>0</v>
      </c>
      <c r="L25" s="964">
        <f t="shared" si="2"/>
        <v>0</v>
      </c>
      <c r="M25" s="964">
        <f t="shared" si="2"/>
        <v>0</v>
      </c>
      <c r="N25" s="964">
        <f t="shared" si="2"/>
        <v>0</v>
      </c>
      <c r="O25" s="964">
        <f t="shared" si="2"/>
        <v>0</v>
      </c>
      <c r="P25" s="462">
        <f>(SUM(C25:O25))/13</f>
        <v>3.148250890752444E-12</v>
      </c>
    </row>
    <row r="26" spans="1:16">
      <c r="A26" s="76">
        <v>17</v>
      </c>
      <c r="B26" s="413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76">
        <v>18</v>
      </c>
      <c r="B27" s="413" t="s">
        <v>1195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1:16">
      <c r="A28" s="76">
        <v>19</v>
      </c>
      <c r="B28" s="413" t="s">
        <v>528</v>
      </c>
      <c r="C28" s="1153" t="str">
        <f>[5]summary!K11</f>
        <v>0</v>
      </c>
      <c r="D28" s="1153" t="str">
        <f>[5]summary!L11</f>
        <v>0</v>
      </c>
      <c r="E28" s="1153" t="str">
        <f>[5]summary!M11</f>
        <v>0</v>
      </c>
      <c r="F28" s="1153" t="str">
        <f>[5]summary!N11</f>
        <v>0</v>
      </c>
      <c r="G28" s="1153" t="str">
        <f>[5]summary!O11</f>
        <v>0</v>
      </c>
      <c r="H28" s="1153" t="str">
        <f>[5]summary!P11</f>
        <v>0</v>
      </c>
      <c r="I28" s="1153" t="str">
        <f>[5]summary!Q11</f>
        <v xml:space="preserve"> 0</v>
      </c>
      <c r="J28" s="1153" t="str">
        <f>[5]summary!R11</f>
        <v xml:space="preserve"> 0</v>
      </c>
      <c r="K28" s="1153" t="str">
        <f>[5]summary!S11</f>
        <v xml:space="preserve"> 0</v>
      </c>
      <c r="L28" s="1153" t="str">
        <f>[5]summary!T11</f>
        <v xml:space="preserve"> 0</v>
      </c>
      <c r="M28" s="1153" t="str">
        <f>[5]summary!U11</f>
        <v xml:space="preserve"> 0</v>
      </c>
      <c r="N28" s="1153" t="str">
        <f>[5]summary!V11</f>
        <v xml:space="preserve"> 0</v>
      </c>
      <c r="O28" s="1153" t="str">
        <f>[5]summary!W11</f>
        <v xml:space="preserve"> 0</v>
      </c>
      <c r="P28" s="106"/>
    </row>
    <row r="29" spans="1:16">
      <c r="A29" s="76">
        <v>20</v>
      </c>
      <c r="B29" s="413" t="s">
        <v>529</v>
      </c>
      <c r="C29" s="1153" t="str">
        <f>[5]summary!K12</f>
        <v>0</v>
      </c>
      <c r="D29" s="1153" t="str">
        <f>[5]summary!L12</f>
        <v>0</v>
      </c>
      <c r="E29" s="1153" t="str">
        <f>[5]summary!M12</f>
        <v>0</v>
      </c>
      <c r="F29" s="1153" t="str">
        <f>[5]summary!N12</f>
        <v>0</v>
      </c>
      <c r="G29" s="1153" t="str">
        <f>[5]summary!O12</f>
        <v>0</v>
      </c>
      <c r="H29" s="1153" t="str">
        <f>[5]summary!P12</f>
        <v>0</v>
      </c>
      <c r="I29" s="1153" t="str">
        <f>[5]summary!Q12</f>
        <v>0</v>
      </c>
      <c r="J29" s="1153" t="str">
        <f>[5]summary!R12</f>
        <v>0</v>
      </c>
      <c r="K29" s="1153" t="str">
        <f>[5]summary!S12</f>
        <v>0</v>
      </c>
      <c r="L29" s="1153" t="str">
        <f>[5]summary!T12</f>
        <v>0</v>
      </c>
      <c r="M29" s="1153" t="str">
        <f>[5]summary!U12</f>
        <v>0</v>
      </c>
      <c r="N29" s="1153" t="str">
        <f>[5]summary!V12</f>
        <v>0</v>
      </c>
      <c r="O29" s="1153" t="str">
        <f>[5]summary!W12</f>
        <v>0</v>
      </c>
      <c r="P29" s="106"/>
    </row>
    <row r="30" spans="1:16">
      <c r="A30" s="76">
        <v>21</v>
      </c>
      <c r="B30" s="366" t="s">
        <v>530</v>
      </c>
      <c r="C30" s="964">
        <f>SUM(C28:C29)</f>
        <v>0</v>
      </c>
      <c r="D30" s="964">
        <f t="shared" ref="D30:J30" si="3">SUM(D28:D29)</f>
        <v>0</v>
      </c>
      <c r="E30" s="964">
        <f t="shared" si="3"/>
        <v>0</v>
      </c>
      <c r="F30" s="964">
        <f t="shared" si="3"/>
        <v>0</v>
      </c>
      <c r="G30" s="964">
        <f t="shared" si="3"/>
        <v>0</v>
      </c>
      <c r="H30" s="964">
        <f t="shared" si="3"/>
        <v>0</v>
      </c>
      <c r="I30" s="964">
        <f t="shared" si="3"/>
        <v>0</v>
      </c>
      <c r="J30" s="964">
        <f t="shared" si="3"/>
        <v>0</v>
      </c>
      <c r="K30" s="964">
        <f>SUM(K28:K29)</f>
        <v>0</v>
      </c>
      <c r="L30" s="964">
        <f>SUM(L28:L29)</f>
        <v>0</v>
      </c>
      <c r="M30" s="964">
        <f>SUM(M28:M29)</f>
        <v>0</v>
      </c>
      <c r="N30" s="964">
        <f>SUM(N28:N29)</f>
        <v>0</v>
      </c>
      <c r="O30" s="964">
        <f>SUM(O28:O29)</f>
        <v>0</v>
      </c>
      <c r="P30" s="462">
        <f>(SUM(C30:O30))/13</f>
        <v>0</v>
      </c>
    </row>
    <row r="31" spans="1:16">
      <c r="A31" s="76">
        <v>22</v>
      </c>
      <c r="B31" s="413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1:16" ht="15.75">
      <c r="A32" s="76">
        <v>23</v>
      </c>
      <c r="B32" s="379" t="s">
        <v>531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1:18">
      <c r="A33" s="76">
        <v>24</v>
      </c>
      <c r="B33" s="89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18">
      <c r="A34" s="76">
        <v>25</v>
      </c>
      <c r="B34" s="1087" t="s">
        <v>1192</v>
      </c>
      <c r="C34" s="462">
        <f>'[7]2015 dollars'!G$112</f>
        <v>1321776.6200000001</v>
      </c>
      <c r="D34" s="462">
        <f>'[7]2015 dollars'!H$112</f>
        <v>-3754264.8499999992</v>
      </c>
      <c r="E34" s="462">
        <f>'[7]2015 dollars'!I$112</f>
        <v>1712587.7499999995</v>
      </c>
      <c r="F34" s="462">
        <f>'[7]2015 dollars'!J$112</f>
        <v>1156435.0399999993</v>
      </c>
      <c r="G34" s="462">
        <f>'[7]2015 dollars'!K$112</f>
        <v>6341727.5800000001</v>
      </c>
      <c r="H34" s="462">
        <f>'[7]2015 dollars'!L$112</f>
        <v>9174321.3399999999</v>
      </c>
      <c r="I34" s="462">
        <f>'[7]2015 dollars'!M$112</f>
        <v>12883047.880000001</v>
      </c>
      <c r="J34" s="462">
        <f>'[6]Summary of Revenue'!I$32</f>
        <v>16574116.969999999</v>
      </c>
      <c r="K34" s="462">
        <f>'[6]Summary of Revenue'!J$32</f>
        <v>20151685.449179217</v>
      </c>
      <c r="L34" s="462">
        <f>'[6]Summary of Revenue'!K$32</f>
        <v>17745957.124034587</v>
      </c>
      <c r="M34" s="462">
        <f>'[6]Summary of Revenue'!L$32</f>
        <v>12230225.891968817</v>
      </c>
      <c r="N34" s="462">
        <f>'[6]Summary of Revenue'!M$32</f>
        <v>5459843.7922860514</v>
      </c>
      <c r="O34" s="462">
        <f>'[6]Summary of Revenue'!N$32</f>
        <v>-778028.49315554556</v>
      </c>
      <c r="P34" s="462">
        <f>(SUM(C34:O34))/13</f>
        <v>7709187.0841779327</v>
      </c>
      <c r="Q34" s="771"/>
      <c r="R34" s="771"/>
    </row>
    <row r="35" spans="1:18">
      <c r="A35" s="76">
        <v>26</v>
      </c>
      <c r="B35" s="413"/>
      <c r="C35" s="106"/>
      <c r="D35" s="106"/>
      <c r="E35" s="106"/>
      <c r="F35" s="106"/>
      <c r="G35" s="106"/>
      <c r="H35" s="106"/>
      <c r="I35" s="106"/>
      <c r="J35" s="106"/>
      <c r="K35" s="462"/>
      <c r="L35" s="462"/>
      <c r="M35" s="462"/>
      <c r="N35" s="462"/>
      <c r="O35" s="462"/>
      <c r="P35" s="106"/>
    </row>
    <row r="36" spans="1:18">
      <c r="A36" s="76">
        <v>27</v>
      </c>
      <c r="B36" s="413" t="s">
        <v>1193</v>
      </c>
      <c r="C36" s="615">
        <v>0</v>
      </c>
      <c r="D36" s="615">
        <v>0</v>
      </c>
      <c r="E36" s="615">
        <v>0</v>
      </c>
      <c r="F36" s="615">
        <v>0</v>
      </c>
      <c r="G36" s="615">
        <v>0</v>
      </c>
      <c r="H36" s="615">
        <v>0</v>
      </c>
      <c r="I36" s="615">
        <v>0</v>
      </c>
      <c r="J36" s="615">
        <v>0</v>
      </c>
      <c r="K36" s="615">
        <v>0</v>
      </c>
      <c r="L36" s="615">
        <v>0</v>
      </c>
      <c r="M36" s="615">
        <v>0</v>
      </c>
      <c r="N36" s="615">
        <v>0</v>
      </c>
      <c r="O36" s="615">
        <v>0</v>
      </c>
      <c r="P36" s="462">
        <f>(SUM(C36:O36))/13</f>
        <v>0</v>
      </c>
    </row>
    <row r="37" spans="1:18">
      <c r="A37" s="76">
        <v>28</v>
      </c>
      <c r="B37" s="413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8">
      <c r="A38" s="76">
        <v>29</v>
      </c>
      <c r="B38" s="413" t="s">
        <v>1194</v>
      </c>
      <c r="C38" s="615">
        <v>0</v>
      </c>
      <c r="D38" s="615">
        <v>0</v>
      </c>
      <c r="E38" s="615">
        <v>0</v>
      </c>
      <c r="F38" s="615">
        <v>0</v>
      </c>
      <c r="G38" s="615">
        <v>0</v>
      </c>
      <c r="H38" s="615">
        <v>0</v>
      </c>
      <c r="I38" s="615">
        <v>0</v>
      </c>
      <c r="J38" s="615">
        <v>0</v>
      </c>
      <c r="K38" s="615">
        <v>0</v>
      </c>
      <c r="L38" s="615">
        <v>0</v>
      </c>
      <c r="M38" s="615">
        <v>0</v>
      </c>
      <c r="N38" s="615">
        <v>0</v>
      </c>
      <c r="O38" s="615">
        <v>0</v>
      </c>
      <c r="P38" s="462">
        <f>(SUM(C38:O38))/13</f>
        <v>0</v>
      </c>
    </row>
    <row r="39" spans="1:18">
      <c r="A39" s="76">
        <v>30</v>
      </c>
      <c r="B39" s="413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1:18">
      <c r="A40" s="76">
        <v>31</v>
      </c>
      <c r="B40" s="413" t="s">
        <v>1195</v>
      </c>
      <c r="C40" s="615">
        <v>0</v>
      </c>
      <c r="D40" s="615">
        <v>0</v>
      </c>
      <c r="E40" s="615">
        <v>0</v>
      </c>
      <c r="F40" s="615">
        <v>0</v>
      </c>
      <c r="G40" s="615">
        <v>0</v>
      </c>
      <c r="H40" s="615">
        <v>0</v>
      </c>
      <c r="I40" s="615">
        <v>0</v>
      </c>
      <c r="J40" s="615">
        <v>0</v>
      </c>
      <c r="K40" s="615">
        <v>0</v>
      </c>
      <c r="L40" s="615">
        <v>0</v>
      </c>
      <c r="M40" s="615">
        <v>0</v>
      </c>
      <c r="N40" s="615">
        <v>0</v>
      </c>
      <c r="O40" s="615">
        <v>0</v>
      </c>
      <c r="P40" s="462">
        <f>(SUM(C40:O40))/13</f>
        <v>0</v>
      </c>
    </row>
    <row r="41" spans="1:18">
      <c r="A41" s="76">
        <v>32</v>
      </c>
      <c r="B41" s="36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1:18" ht="15.75">
      <c r="A42" s="76">
        <v>33</v>
      </c>
      <c r="B42" s="379" t="s">
        <v>532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1:18">
      <c r="A43" s="76">
        <v>34</v>
      </c>
      <c r="B43" s="9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1:18">
      <c r="A44" s="76">
        <v>35</v>
      </c>
      <c r="B44" s="413" t="s">
        <v>1192</v>
      </c>
      <c r="C44" s="462">
        <f>[5]summary!K$24</f>
        <v>106038.11</v>
      </c>
      <c r="D44" s="462">
        <f>[5]summary!L$24</f>
        <v>79528.570000000007</v>
      </c>
      <c r="E44" s="462">
        <f>[5]summary!M$24</f>
        <v>53019.03</v>
      </c>
      <c r="F44" s="462">
        <f>[5]summary!N$24</f>
        <v>26509.49</v>
      </c>
      <c r="G44" s="462">
        <f>[5]summary!O$24</f>
        <v>374272.25</v>
      </c>
      <c r="H44" s="462">
        <f>[5]summary!P$24</f>
        <v>343082.94</v>
      </c>
      <c r="I44" s="462">
        <f>[5]summary!Q$24</f>
        <v>311893.63</v>
      </c>
      <c r="J44" s="462">
        <f>[5]summary!R$24</f>
        <v>198050.98500000002</v>
      </c>
      <c r="K44" s="462">
        <f>[5]summary!S$24</f>
        <v>198050.98500000002</v>
      </c>
      <c r="L44" s="462">
        <f>[5]summary!T$24</f>
        <v>198050.98500000002</v>
      </c>
      <c r="M44" s="462">
        <f>[5]summary!U$24</f>
        <v>198050.98500000002</v>
      </c>
      <c r="N44" s="462">
        <f>[5]summary!V$24</f>
        <v>198050.98500000002</v>
      </c>
      <c r="O44" s="462">
        <f>[5]summary!W$24</f>
        <v>198050.98500000002</v>
      </c>
      <c r="P44" s="462">
        <f>(SUM(C44:O44))/13</f>
        <v>190973.07153846155</v>
      </c>
    </row>
    <row r="45" spans="1:18">
      <c r="A45" s="76">
        <v>36</v>
      </c>
      <c r="B45" s="413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8">
      <c r="A46" s="76">
        <v>37</v>
      </c>
      <c r="B46" s="413" t="s">
        <v>1193</v>
      </c>
      <c r="C46" s="462">
        <f>[5]summary!K$19</f>
        <v>17751.97</v>
      </c>
      <c r="D46" s="462">
        <f>[5]summary!L$19</f>
        <v>1704.19</v>
      </c>
      <c r="E46" s="462">
        <f>[5]summary!M$19</f>
        <v>391.6</v>
      </c>
      <c r="F46" s="462">
        <f>[5]summary!N$19</f>
        <v>5084.2300000000005</v>
      </c>
      <c r="G46" s="462">
        <f>[5]summary!O$19</f>
        <v>-2074.5</v>
      </c>
      <c r="H46" s="462">
        <f>[5]summary!P$19</f>
        <v>-3546.17</v>
      </c>
      <c r="I46" s="462">
        <f>[5]summary!Q$19</f>
        <v>10892.33</v>
      </c>
      <c r="J46" s="462">
        <f>[5]summary!R$19</f>
        <v>2075.2800000000002</v>
      </c>
      <c r="K46" s="462">
        <f>[5]summary!S$19</f>
        <v>2075.2800000000002</v>
      </c>
      <c r="L46" s="462">
        <f>[5]summary!T$19</f>
        <v>2075.2800000000002</v>
      </c>
      <c r="M46" s="462">
        <f>[5]summary!U$19</f>
        <v>2075.2800000000002</v>
      </c>
      <c r="N46" s="462">
        <f>[5]summary!V$19</f>
        <v>2075.2800000000002</v>
      </c>
      <c r="O46" s="462">
        <f>[5]summary!W$19</f>
        <v>2075.2800000000002</v>
      </c>
      <c r="P46" s="462">
        <f>(SUM(C46:O46))/13</f>
        <v>3281.1792307692303</v>
      </c>
    </row>
    <row r="47" spans="1:18">
      <c r="A47" s="76">
        <v>38</v>
      </c>
      <c r="B47" s="413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1:18">
      <c r="A48" s="76">
        <v>39</v>
      </c>
      <c r="B48" s="413" t="s">
        <v>1194</v>
      </c>
      <c r="C48" s="462">
        <f>[5]summary!K$9</f>
        <v>24880762.84</v>
      </c>
      <c r="D48" s="462">
        <f>[5]summary!L$9</f>
        <v>29603126.800000004</v>
      </c>
      <c r="E48" s="462">
        <f>[5]summary!M$9</f>
        <v>26491689.34</v>
      </c>
      <c r="F48" s="462">
        <f>[5]summary!N$9</f>
        <v>27939057.789999999</v>
      </c>
      <c r="G48" s="462">
        <f>[5]summary!O$9</f>
        <v>25589870.34</v>
      </c>
      <c r="H48" s="462">
        <f>[5]summary!P$9</f>
        <v>23862310.220000006</v>
      </c>
      <c r="I48" s="462">
        <f>[5]summary!Q$9</f>
        <v>21066025.809999999</v>
      </c>
      <c r="J48" s="462">
        <f>[5]summary!R$9</f>
        <v>25758680.050000001</v>
      </c>
      <c r="K48" s="462">
        <f>[5]summary!S$9</f>
        <v>25758680.050000001</v>
      </c>
      <c r="L48" s="462">
        <f>[5]summary!T$9</f>
        <v>25758680.050000001</v>
      </c>
      <c r="M48" s="462">
        <f>[5]summary!U$9</f>
        <v>25758680.050000001</v>
      </c>
      <c r="N48" s="462">
        <f>[5]summary!V$9</f>
        <v>25758680.050000001</v>
      </c>
      <c r="O48" s="462">
        <f>[5]summary!W$9</f>
        <v>25758680.050000001</v>
      </c>
      <c r="P48" s="462">
        <f>(SUM(C48:O48))/13</f>
        <v>25691147.956923082</v>
      </c>
    </row>
    <row r="49" spans="1:16">
      <c r="A49" s="76">
        <v>40</v>
      </c>
      <c r="B49" s="413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1:16">
      <c r="A50" s="76">
        <v>41</v>
      </c>
      <c r="B50" s="413" t="s">
        <v>1195</v>
      </c>
      <c r="C50" s="462" t="str">
        <f>[5]summary!K$14</f>
        <v>0</v>
      </c>
      <c r="D50" s="462" t="str">
        <f>[5]summary!L$14</f>
        <v>0</v>
      </c>
      <c r="E50" s="462" t="str">
        <f>[5]summary!M$14</f>
        <v>0</v>
      </c>
      <c r="F50" s="462" t="str">
        <f>[5]summary!N$14</f>
        <v>0</v>
      </c>
      <c r="G50" s="462" t="str">
        <f>[5]summary!O$14</f>
        <v>0</v>
      </c>
      <c r="H50" s="462" t="str">
        <f>[5]summary!P$14</f>
        <v>0</v>
      </c>
      <c r="I50" s="462" t="str">
        <f>[5]summary!Q$14</f>
        <v xml:space="preserve"> 0</v>
      </c>
      <c r="J50" s="462" t="str">
        <f>[5]summary!R$14</f>
        <v xml:space="preserve"> 0</v>
      </c>
      <c r="K50" s="462" t="str">
        <f>[5]summary!S$14</f>
        <v xml:space="preserve"> 0</v>
      </c>
      <c r="L50" s="462" t="str">
        <f>[5]summary!T$14</f>
        <v xml:space="preserve"> 0</v>
      </c>
      <c r="M50" s="462" t="str">
        <f>[5]summary!U$14</f>
        <v xml:space="preserve"> 0</v>
      </c>
      <c r="N50" s="462" t="str">
        <f>[5]summary!V$14</f>
        <v xml:space="preserve"> 0</v>
      </c>
      <c r="O50" s="462" t="str">
        <f>[5]summary!W$14</f>
        <v xml:space="preserve"> 0</v>
      </c>
      <c r="P50" s="462">
        <f>(SUM(C50:O50))/13</f>
        <v>0</v>
      </c>
    </row>
    <row r="51" spans="1:16"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6">
      <c r="C52" s="106"/>
      <c r="D52" s="106"/>
      <c r="E52" s="106"/>
      <c r="F52" s="106"/>
      <c r="G52" s="106"/>
      <c r="H52" s="106"/>
      <c r="I52" s="106"/>
      <c r="J52" s="106"/>
    </row>
    <row r="55" spans="1:16">
      <c r="B55" t="s">
        <v>533</v>
      </c>
    </row>
    <row r="56" spans="1:16">
      <c r="B56" t="s">
        <v>1623</v>
      </c>
    </row>
    <row r="59" spans="1:16">
      <c r="C59" s="771"/>
    </row>
    <row r="60" spans="1:16">
      <c r="C60" s="771"/>
    </row>
  </sheetData>
  <mergeCells count="4">
    <mergeCell ref="A1:P1"/>
    <mergeCell ref="A2:P2"/>
    <mergeCell ref="A3:P3"/>
    <mergeCell ref="A4:P4"/>
  </mergeCells>
  <phoneticPr fontId="24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J13" sqref="J13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8.33203125" style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0" width="13.109375" style="1" bestFit="1" customWidth="1"/>
    <col min="11" max="11" width="13" style="1" customWidth="1"/>
    <col min="12" max="12" width="13.109375" style="1" bestFit="1" customWidth="1"/>
    <col min="13" max="14" width="13" style="1" customWidth="1"/>
    <col min="15" max="15" width="13.5546875" style="1" customWidth="1"/>
    <col min="16" max="16" width="13.21875" style="1" customWidth="1"/>
    <col min="17" max="17" width="13.77734375" style="1" customWidth="1"/>
    <col min="18" max="16384" width="8.44140625" style="1"/>
  </cols>
  <sheetData>
    <row r="1" spans="1:18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8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8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060"/>
    </row>
    <row r="4" spans="1:18">
      <c r="A4" s="932" t="str">
        <f>Allocation!A3</f>
        <v>Base Period: Twelve Months Ended February 29, 2016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</row>
    <row r="5" spans="1:18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8">
      <c r="A6" s="70" t="str">
        <f>'B.1 B'!A6</f>
        <v>Data:__X___Base Period______Forecasted Period</v>
      </c>
      <c r="B6" s="70"/>
      <c r="C6" s="47"/>
      <c r="P6" s="1" t="s">
        <v>1518</v>
      </c>
    </row>
    <row r="7" spans="1:18">
      <c r="A7" s="70" t="str">
        <f>'B.1 B'!A7</f>
        <v>Type of Filing:___X____Original________Updated ________Revised</v>
      </c>
      <c r="B7" s="47"/>
      <c r="C7" s="70"/>
      <c r="P7" s="1" t="s">
        <v>734</v>
      </c>
    </row>
    <row r="8" spans="1:18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8">
      <c r="D9" s="77"/>
      <c r="E9" s="299"/>
      <c r="F9" s="2"/>
      <c r="G9" s="2"/>
      <c r="H9" s="101"/>
      <c r="I9" s="2"/>
      <c r="J9" s="299"/>
      <c r="K9" s="2"/>
    </row>
    <row r="10" spans="1:18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870" t="s">
        <v>1262</v>
      </c>
      <c r="L10" s="76" t="s">
        <v>1262</v>
      </c>
      <c r="M10" s="870" t="s">
        <v>1262</v>
      </c>
      <c r="N10" s="870" t="s">
        <v>1262</v>
      </c>
      <c r="O10" s="870" t="s">
        <v>1262</v>
      </c>
      <c r="P10" s="870" t="s">
        <v>1262</v>
      </c>
      <c r="Q10" s="126" t="s">
        <v>324</v>
      </c>
    </row>
    <row r="11" spans="1:18">
      <c r="A11" s="9" t="s">
        <v>104</v>
      </c>
      <c r="B11" s="9" t="s">
        <v>105</v>
      </c>
      <c r="C11" s="6"/>
      <c r="D11" s="450">
        <f>'WP B.4.1B'!C8</f>
        <v>42063</v>
      </c>
      <c r="E11" s="450">
        <f>'WP B.4.1B'!D8</f>
        <v>42094</v>
      </c>
      <c r="F11" s="450">
        <f>'WP B.4.1B'!E8</f>
        <v>42095</v>
      </c>
      <c r="G11" s="450">
        <f>'WP B.4.1B'!F8</f>
        <v>42155</v>
      </c>
      <c r="H11" s="450">
        <f>'WP B.4.1B'!G8</f>
        <v>42185</v>
      </c>
      <c r="I11" s="450">
        <f>'WP B.4.1B'!H8</f>
        <v>42216</v>
      </c>
      <c r="J11" s="804">
        <f>'WP B.4.1B'!I8</f>
        <v>42247</v>
      </c>
      <c r="K11" s="804">
        <f>'WP B.4.1B'!J8</f>
        <v>42277</v>
      </c>
      <c r="L11" s="450">
        <f>'WP B.4.1B'!K8</f>
        <v>42308</v>
      </c>
      <c r="M11" s="450">
        <f>'WP B.4.1B'!L8</f>
        <v>42338</v>
      </c>
      <c r="N11" s="450">
        <f>'WP B.4.1B'!M8</f>
        <v>42369</v>
      </c>
      <c r="O11" s="450">
        <f>'WP B.4.1B'!N8</f>
        <v>42400</v>
      </c>
      <c r="P11" s="450">
        <f>'WP B.4.1B'!O8</f>
        <v>42429</v>
      </c>
      <c r="Q11" s="80" t="s">
        <v>103</v>
      </c>
    </row>
    <row r="12" spans="1:18" ht="15.75">
      <c r="B12" s="12" t="s">
        <v>218</v>
      </c>
      <c r="G12" s="107"/>
      <c r="J12" s="107"/>
      <c r="K12" s="107"/>
    </row>
    <row r="13" spans="1:18">
      <c r="A13" s="2">
        <v>1</v>
      </c>
      <c r="C13" s="17" t="s">
        <v>689</v>
      </c>
      <c r="D13" s="1154">
        <f>SUM('[8]Division 009'!BS$124:BS$125)</f>
        <v>1904270.34</v>
      </c>
      <c r="E13" s="1154">
        <f>SUM('[8]Division 009'!BT$124:BT$125)</f>
        <v>1904270.34</v>
      </c>
      <c r="F13" s="1154">
        <f>SUM('[8]Division 009'!BU$124:BU$125)</f>
        <v>1904270.34</v>
      </c>
      <c r="G13" s="1154">
        <f>SUM('[8]Division 009'!BV$124:BV$125)</f>
        <v>1904270.34</v>
      </c>
      <c r="H13" s="1154">
        <f>SUM('[8]Division 009'!BW$124:BW$125)</f>
        <v>1904270.34</v>
      </c>
      <c r="I13" s="1154">
        <f>SUM('[8]Division 009'!BX$124:BX$125)</f>
        <v>1904270.3399999999</v>
      </c>
      <c r="J13" s="1154">
        <f>SUM('[8]Division 009'!BY$124:BY$125)</f>
        <v>1904270.3399999999</v>
      </c>
      <c r="K13" s="1154">
        <f>SUM('[8]Division 009'!BZ$124:BZ$125)</f>
        <v>1904270.3399999999</v>
      </c>
      <c r="L13" s="1154">
        <f>SUM('[8]Division 009'!CA$124:CA$125)</f>
        <v>1904270.3399999999</v>
      </c>
      <c r="M13" s="1154">
        <f>SUM('[8]Division 009'!CB$124:CB$125)</f>
        <v>1904270.3399999999</v>
      </c>
      <c r="N13" s="1154">
        <f>SUM('[8]Division 009'!CC$124:CC$125)</f>
        <v>1904270.3399999999</v>
      </c>
      <c r="O13" s="1154">
        <f>SUM('[8]Division 009'!CD$124:CD$125)</f>
        <v>1904270.3399999999</v>
      </c>
      <c r="P13" s="1154">
        <f>SUM('[8]Division 009'!CE$124:CE$125)</f>
        <v>1904270.3399999999</v>
      </c>
      <c r="Q13" s="730">
        <f>(SUM(D13:P13))/13</f>
        <v>1904270.34</v>
      </c>
    </row>
    <row r="14" spans="1:18" ht="14.25" customHeight="1">
      <c r="A14" s="2">
        <f>A13+1</f>
        <v>2</v>
      </c>
      <c r="B14" s="489"/>
      <c r="C14" s="4"/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491"/>
    </row>
    <row r="15" spans="1:18">
      <c r="A15" s="805">
        <f t="shared" ref="A15:A49" si="0">A14+1</f>
        <v>3</v>
      </c>
      <c r="C15" s="17" t="s">
        <v>690</v>
      </c>
      <c r="D15" s="798">
        <f>SUM('[8]Division 009'!BS$126:BS$127)</f>
        <v>-69483428.670000002</v>
      </c>
      <c r="E15" s="798">
        <f>SUM('[8]Division 009'!BT$126:BT$127)</f>
        <v>-69483428.670000002</v>
      </c>
      <c r="F15" s="798">
        <f>SUM('[8]Division 009'!BU$126:BU$127)</f>
        <v>-69483428.670000002</v>
      </c>
      <c r="G15" s="798">
        <f>SUM('[8]Division 009'!BV$126:BV$127)</f>
        <v>-69483428.670000002</v>
      </c>
      <c r="H15" s="798">
        <f>SUM('[8]Division 009'!BW$126:BW$127)</f>
        <v>-69483428.670000002</v>
      </c>
      <c r="I15" s="798">
        <f>SUM('[8]Division 009'!BX$126:BX$127)</f>
        <v>-72723561.01253204</v>
      </c>
      <c r="J15" s="798">
        <f>SUM('[8]Division 009'!BY$126:BY$127)</f>
        <v>-73774986.304776028</v>
      </c>
      <c r="K15" s="798">
        <f>SUM('[8]Division 009'!BZ$126:BZ$127)</f>
        <v>-77299516.29034844</v>
      </c>
      <c r="L15" s="798">
        <f>SUM('[8]Division 009'!CA$126:CA$127)</f>
        <v>-78255510.703413785</v>
      </c>
      <c r="M15" s="798">
        <f>SUM('[8]Division 009'!CB$126:CB$127)</f>
        <v>-79345539.722192496</v>
      </c>
      <c r="N15" s="798">
        <f>SUM('[8]Division 009'!CC$126:CC$127)</f>
        <v>-80736672.436113358</v>
      </c>
      <c r="O15" s="798">
        <f>SUM('[8]Division 009'!CD$126:CD$127)</f>
        <v>-81696778.952225372</v>
      </c>
      <c r="P15" s="798">
        <f>SUM('[8]Division 009'!CE$126:CE$127)</f>
        <v>-82754429.15566054</v>
      </c>
      <c r="Q15" s="801">
        <f>(SUM(D15:P15))/13</f>
        <v>-74923395.22517401</v>
      </c>
    </row>
    <row r="16" spans="1:18">
      <c r="A16" s="805">
        <f t="shared" si="0"/>
        <v>4</v>
      </c>
      <c r="B16" s="489"/>
      <c r="C16" s="4"/>
      <c r="D16" s="799"/>
      <c r="E16" s="799"/>
      <c r="F16" s="799"/>
      <c r="G16" s="799"/>
      <c r="H16" s="799"/>
      <c r="I16" s="799"/>
      <c r="J16" s="799"/>
      <c r="K16" s="799"/>
      <c r="L16" s="799"/>
      <c r="M16" s="799"/>
      <c r="N16" s="799"/>
      <c r="O16" s="799"/>
      <c r="P16" s="799"/>
      <c r="Q16" s="801"/>
    </row>
    <row r="17" spans="1:18">
      <c r="A17" s="805">
        <f t="shared" si="0"/>
        <v>5</v>
      </c>
      <c r="C17" s="17" t="s">
        <v>691</v>
      </c>
      <c r="D17" s="798">
        <f>SUM('[8]Division 009'!BS$128:BS$130)</f>
        <v>-1326568.77</v>
      </c>
      <c r="E17" s="798">
        <f>SUM('[8]Division 009'!BT$128:BT$130)</f>
        <v>-1326568.77</v>
      </c>
      <c r="F17" s="798">
        <f>SUM('[8]Division 009'!BU$128:BU$130)</f>
        <v>-1326568.77</v>
      </c>
      <c r="G17" s="798">
        <f>SUM('[8]Division 009'!BV$128:BV$130)</f>
        <v>-1326568.77</v>
      </c>
      <c r="H17" s="798">
        <f>SUM('[8]Division 009'!BW$128:BW$130)</f>
        <v>-1326568.77</v>
      </c>
      <c r="I17" s="798">
        <f>SUM('[8]Division 009'!BX$128:BX$130)</f>
        <v>-96035.15</v>
      </c>
      <c r="J17" s="798">
        <f>SUM('[8]Division 009'!BY$128:BY$130)</f>
        <v>-96035.15</v>
      </c>
      <c r="K17" s="798">
        <f>SUM('[8]Division 009'!BZ$128:BZ$130)</f>
        <v>-96035.15</v>
      </c>
      <c r="L17" s="798">
        <f>SUM('[8]Division 009'!CA$128:CA$130)</f>
        <v>-96035.15</v>
      </c>
      <c r="M17" s="798">
        <f>SUM('[8]Division 009'!CB$128:CB$130)</f>
        <v>-96035.15</v>
      </c>
      <c r="N17" s="798">
        <f>SUM('[8]Division 009'!CC$128:CC$130)</f>
        <v>-96035.15</v>
      </c>
      <c r="O17" s="798">
        <f>SUM('[8]Division 009'!CD$128:CD$130)</f>
        <v>-96035.15</v>
      </c>
      <c r="P17" s="798">
        <f>SUM('[8]Division 009'!CE$128:CE$130)</f>
        <v>-96035.15</v>
      </c>
      <c r="Q17" s="801">
        <f>(SUM(D17:P17))/13</f>
        <v>-569317.31153846171</v>
      </c>
    </row>
    <row r="18" spans="1:18" ht="14.25" customHeight="1">
      <c r="A18" s="805">
        <f t="shared" si="0"/>
        <v>6</v>
      </c>
      <c r="B18" s="489"/>
      <c r="C18" s="4"/>
      <c r="D18" s="103"/>
      <c r="E18" s="103"/>
      <c r="F18" s="103"/>
      <c r="G18" s="103"/>
      <c r="H18" s="103"/>
      <c r="I18" s="100"/>
      <c r="J18" s="100"/>
      <c r="K18" s="100"/>
      <c r="L18" s="581"/>
      <c r="M18" s="581"/>
      <c r="N18" s="581"/>
      <c r="O18" s="581"/>
      <c r="P18" s="107"/>
    </row>
    <row r="19" spans="1:18">
      <c r="A19" s="805">
        <f t="shared" si="0"/>
        <v>7</v>
      </c>
      <c r="C19" s="26" t="s">
        <v>31</v>
      </c>
      <c r="D19" s="755">
        <f t="shared" ref="D19:P19" si="1">SUM(D13:D17)</f>
        <v>-68905727.099999994</v>
      </c>
      <c r="E19" s="755">
        <f t="shared" si="1"/>
        <v>-68905727.099999994</v>
      </c>
      <c r="F19" s="755">
        <f t="shared" si="1"/>
        <v>-68905727.099999994</v>
      </c>
      <c r="G19" s="755">
        <f t="shared" si="1"/>
        <v>-68905727.099999994</v>
      </c>
      <c r="H19" s="755">
        <f t="shared" si="1"/>
        <v>-68905727.099999994</v>
      </c>
      <c r="I19" s="755">
        <f t="shared" si="1"/>
        <v>-70915325.822532043</v>
      </c>
      <c r="J19" s="755">
        <f t="shared" si="1"/>
        <v>-71966751.11477603</v>
      </c>
      <c r="K19" s="755">
        <f t="shared" si="1"/>
        <v>-75491281.100348443</v>
      </c>
      <c r="L19" s="755">
        <f t="shared" si="1"/>
        <v>-76447275.513413787</v>
      </c>
      <c r="M19" s="755">
        <f t="shared" si="1"/>
        <v>-77537304.532192498</v>
      </c>
      <c r="N19" s="755">
        <f t="shared" si="1"/>
        <v>-78928437.24611336</v>
      </c>
      <c r="O19" s="755">
        <f t="shared" si="1"/>
        <v>-79888543.762225375</v>
      </c>
      <c r="P19" s="721">
        <f t="shared" si="1"/>
        <v>-80946193.965660542</v>
      </c>
      <c r="Q19" s="722">
        <f>(SUM(D19:P19))/13</f>
        <v>-73588442.196712479</v>
      </c>
      <c r="R19" s="801"/>
    </row>
    <row r="20" spans="1:18" ht="14.25" customHeight="1">
      <c r="A20" s="805">
        <f t="shared" si="0"/>
        <v>8</v>
      </c>
      <c r="B20" s="489"/>
      <c r="C20" s="4"/>
      <c r="D20" s="103"/>
      <c r="E20" s="103"/>
      <c r="F20" s="103"/>
      <c r="G20" s="103"/>
      <c r="H20" s="103"/>
      <c r="I20" s="100"/>
      <c r="J20" s="100"/>
      <c r="K20" s="100"/>
      <c r="L20" s="581"/>
      <c r="M20" s="581"/>
      <c r="N20" s="581"/>
      <c r="O20" s="581"/>
      <c r="P20" s="107"/>
    </row>
    <row r="21" spans="1:18" ht="15.75">
      <c r="A21" s="805">
        <f t="shared" si="0"/>
        <v>9</v>
      </c>
      <c r="B21" s="12" t="s">
        <v>219</v>
      </c>
      <c r="D21" s="100"/>
      <c r="E21" s="100"/>
      <c r="F21" s="100"/>
      <c r="G21" s="100"/>
      <c r="I21" s="100"/>
      <c r="J21" s="100"/>
      <c r="K21" s="100"/>
      <c r="L21" s="581"/>
      <c r="M21" s="581"/>
      <c r="N21" s="581"/>
      <c r="O21" s="581"/>
      <c r="P21" s="107"/>
    </row>
    <row r="22" spans="1:18">
      <c r="A22" s="805">
        <f t="shared" si="0"/>
        <v>10</v>
      </c>
      <c r="C22" s="17" t="s">
        <v>689</v>
      </c>
      <c r="D22" s="1154">
        <f>'[8]Division 002'!BS$128</f>
        <v>544855185.28830004</v>
      </c>
      <c r="E22" s="1154">
        <f>'[8]Division 002'!BT$128</f>
        <v>501261725.55000001</v>
      </c>
      <c r="F22" s="1154">
        <f>'[8]Division 002'!BU$128</f>
        <v>501261725.55000001</v>
      </c>
      <c r="G22" s="1154">
        <f>'[8]Division 002'!BV$128</f>
        <v>501261725.55000001</v>
      </c>
      <c r="H22" s="1154">
        <f>'[8]Division 002'!BW$128</f>
        <v>484045051.19999999</v>
      </c>
      <c r="I22" s="1154">
        <f>'[8]Division 002'!BX$128</f>
        <v>484045051.19999999</v>
      </c>
      <c r="J22" s="1154">
        <f>'[8]Division 002'!BY$128</f>
        <v>484045051.19999999</v>
      </c>
      <c r="K22" s="1154">
        <f>'[8]Division 002'!BZ$128</f>
        <v>484045051.19999999</v>
      </c>
      <c r="L22" s="1154">
        <f>'[8]Division 002'!CA$128</f>
        <v>484045051.19999999</v>
      </c>
      <c r="M22" s="1154">
        <f>'[8]Division 002'!CB$128</f>
        <v>484045051.19999999</v>
      </c>
      <c r="N22" s="1154">
        <f>'[8]Division 002'!CC$128</f>
        <v>484045051.19999999</v>
      </c>
      <c r="O22" s="1154">
        <f>'[8]Division 002'!CD$128</f>
        <v>484045051.19999999</v>
      </c>
      <c r="P22" s="1154">
        <f>'[8]Division 002'!CE$128</f>
        <v>484045051.19999999</v>
      </c>
      <c r="Q22" s="730">
        <f>(SUM(D22:P22))/13</f>
        <v>492695832.51833063</v>
      </c>
      <c r="R22" s="771"/>
    </row>
    <row r="23" spans="1:18">
      <c r="A23" s="805">
        <f t="shared" si="0"/>
        <v>11</v>
      </c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491"/>
    </row>
    <row r="24" spans="1:18">
      <c r="A24" s="805">
        <f t="shared" si="0"/>
        <v>12</v>
      </c>
      <c r="C24" s="17" t="s">
        <v>690</v>
      </c>
      <c r="D24" s="798">
        <f>SUM('[8]Division 002'!BS$131:BS$132)</f>
        <v>6336601.5699999994</v>
      </c>
      <c r="E24" s="798">
        <f>SUM('[8]Division 002'!BT$131:BT$132)</f>
        <v>-43054301.840000004</v>
      </c>
      <c r="F24" s="798">
        <f>SUM('[8]Division 002'!BU$131:BU$132)</f>
        <v>-43054301.840000004</v>
      </c>
      <c r="G24" s="798">
        <f>SUM('[8]Division 002'!BV$131:BV$132)</f>
        <v>-43054301.840000004</v>
      </c>
      <c r="H24" s="798">
        <f>SUM('[8]Division 002'!BW$131:BW$132)</f>
        <v>-49388136.310000002</v>
      </c>
      <c r="I24" s="798">
        <f>SUM('[8]Division 002'!BX$131:BX$132)</f>
        <v>-25640007.445015159</v>
      </c>
      <c r="J24" s="798">
        <f>SUM('[8]Division 002'!BY$131:BY$132)</f>
        <v>-25496903.564482722</v>
      </c>
      <c r="K24" s="798">
        <f>SUM('[8]Division 002'!BZ$131:BZ$132)</f>
        <v>-26044091.677395936</v>
      </c>
      <c r="L24" s="798">
        <f>SUM('[8]Division 002'!CA$131:CA$132)</f>
        <v>-26034738.09545039</v>
      </c>
      <c r="M24" s="798">
        <f>SUM('[8]Division 002'!CB$131:CB$132)</f>
        <v>-26242417.628822673</v>
      </c>
      <c r="N24" s="798">
        <f>SUM('[8]Division 002'!CC$131:CC$132)</f>
        <v>-26788271.84999885</v>
      </c>
      <c r="O24" s="798">
        <f>SUM('[8]Division 002'!CD$131:CD$132)</f>
        <v>-26875529.26171007</v>
      </c>
      <c r="P24" s="798">
        <f>SUM('[8]Division 002'!CE$131:CE$132)</f>
        <v>-26896374.648054112</v>
      </c>
      <c r="Q24" s="801">
        <f>(SUM(D24:P24))/13</f>
        <v>-29402521.110071532</v>
      </c>
    </row>
    <row r="25" spans="1:18" ht="14.25" customHeight="1">
      <c r="A25" s="805">
        <f t="shared" si="0"/>
        <v>13</v>
      </c>
      <c r="B25" s="489"/>
      <c r="C25" s="4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801"/>
    </row>
    <row r="26" spans="1:18">
      <c r="A26" s="805">
        <f t="shared" si="0"/>
        <v>14</v>
      </c>
      <c r="C26" s="17" t="s">
        <v>691</v>
      </c>
      <c r="D26" s="798">
        <f>SUM('[8]Division 002'!BS$133:BS$135)</f>
        <v>28275309.789999999</v>
      </c>
      <c r="E26" s="798">
        <f>SUM('[8]Division 002'!BT$133:BT$135)</f>
        <v>34047649.920000002</v>
      </c>
      <c r="F26" s="798">
        <f>SUM('[8]Division 002'!BU$133:BU$135)</f>
        <v>25360195.5</v>
      </c>
      <c r="G26" s="798">
        <f>SUM('[8]Division 002'!BV$133:BV$135)</f>
        <v>20043935.539999999</v>
      </c>
      <c r="H26" s="798">
        <f>SUM('[8]Division 002'!BW$133:BW$135)</f>
        <v>2790655.65</v>
      </c>
      <c r="I26" s="798">
        <f>SUM('[8]Division 002'!BX$133:BX$135)</f>
        <v>22822184.905000001</v>
      </c>
      <c r="J26" s="798">
        <f>SUM('[8]Division 002'!BY$133:BY$135)</f>
        <v>22822184.905000001</v>
      </c>
      <c r="K26" s="798">
        <f>SUM('[8]Division 002'!BZ$133:BZ$135)</f>
        <v>22822184.905000001</v>
      </c>
      <c r="L26" s="798">
        <f>SUM('[8]Division 002'!CA$133:CA$135)</f>
        <v>22822184.905000001</v>
      </c>
      <c r="M26" s="798">
        <f>SUM('[8]Division 002'!CB$133:CB$135)</f>
        <v>22822184.905000001</v>
      </c>
      <c r="N26" s="798">
        <f>SUM('[8]Division 002'!CC$133:CC$135)</f>
        <v>22822184.905000001</v>
      </c>
      <c r="O26" s="798">
        <f>SUM('[8]Division 002'!CD$133:CD$135)</f>
        <v>22822184.905000001</v>
      </c>
      <c r="P26" s="798">
        <f>SUM('[8]Division 002'!CE$133:CE$135)</f>
        <v>22822184.905000001</v>
      </c>
      <c r="Q26" s="801">
        <f>(SUM(D26:P26))/13</f>
        <v>22545786.587692305</v>
      </c>
    </row>
    <row r="27" spans="1:18" ht="14.25" customHeight="1">
      <c r="A27" s="805">
        <f t="shared" si="0"/>
        <v>15</v>
      </c>
      <c r="B27" s="489"/>
      <c r="C27" s="4"/>
      <c r="D27" s="103"/>
      <c r="E27" s="103"/>
      <c r="F27" s="103"/>
      <c r="G27" s="103"/>
      <c r="H27" s="103"/>
      <c r="I27" s="100"/>
      <c r="J27" s="100"/>
      <c r="K27" s="100"/>
      <c r="L27" s="581"/>
      <c r="M27" s="581"/>
      <c r="N27" s="581"/>
      <c r="O27" s="581"/>
      <c r="P27" s="107"/>
    </row>
    <row r="28" spans="1:18">
      <c r="A28" s="805">
        <f t="shared" si="0"/>
        <v>16</v>
      </c>
      <c r="C28" s="26" t="s">
        <v>73</v>
      </c>
      <c r="D28" s="755">
        <f t="shared" ref="D28:P28" si="2">SUM(D22:D26)</f>
        <v>579467096.64830005</v>
      </c>
      <c r="E28" s="755">
        <f t="shared" si="2"/>
        <v>492255073.63000005</v>
      </c>
      <c r="F28" s="755">
        <f t="shared" si="2"/>
        <v>483567619.21000004</v>
      </c>
      <c r="G28" s="755">
        <f t="shared" si="2"/>
        <v>478251359.25000006</v>
      </c>
      <c r="H28" s="755">
        <f t="shared" si="2"/>
        <v>437447570.53999996</v>
      </c>
      <c r="I28" s="755">
        <f t="shared" si="2"/>
        <v>481227228.65998483</v>
      </c>
      <c r="J28" s="755">
        <f t="shared" si="2"/>
        <v>481370332.54051721</v>
      </c>
      <c r="K28" s="755">
        <f t="shared" si="2"/>
        <v>480823144.42760408</v>
      </c>
      <c r="L28" s="755">
        <f t="shared" si="2"/>
        <v>480832498.00954962</v>
      </c>
      <c r="M28" s="755">
        <f t="shared" si="2"/>
        <v>480624818.47617733</v>
      </c>
      <c r="N28" s="755">
        <f t="shared" si="2"/>
        <v>480078964.25500119</v>
      </c>
      <c r="O28" s="755">
        <f t="shared" si="2"/>
        <v>479991706.84328997</v>
      </c>
      <c r="P28" s="721">
        <f t="shared" si="2"/>
        <v>479970861.4569459</v>
      </c>
      <c r="Q28" s="722">
        <f>(SUM(D28:P28))/13</f>
        <v>485839097.99595159</v>
      </c>
      <c r="R28" s="801"/>
    </row>
    <row r="29" spans="1:18" ht="15.75">
      <c r="A29" s="805">
        <f t="shared" si="0"/>
        <v>17</v>
      </c>
      <c r="B29" s="12" t="s">
        <v>1137</v>
      </c>
      <c r="C29" s="26"/>
      <c r="D29" s="490"/>
      <c r="E29" s="490"/>
      <c r="F29" s="490"/>
      <c r="G29" s="102"/>
      <c r="H29" s="102"/>
      <c r="I29" s="102"/>
      <c r="J29" s="102"/>
      <c r="K29" s="102"/>
      <c r="L29" s="581"/>
      <c r="M29" s="581"/>
      <c r="N29" s="581"/>
      <c r="O29" s="581"/>
      <c r="P29" s="107"/>
    </row>
    <row r="30" spans="1:18">
      <c r="A30" s="805">
        <f t="shared" si="0"/>
        <v>18</v>
      </c>
      <c r="C30" s="17" t="s">
        <v>689</v>
      </c>
      <c r="D30" s="1154">
        <f>SUM('[8]Division 012'!BS$124:BS$125)</f>
        <v>-410946.2</v>
      </c>
      <c r="E30" s="1154">
        <f>SUM('[8]Division 012'!BT$124:BT$125)</f>
        <v>-410946.2</v>
      </c>
      <c r="F30" s="1154">
        <f>SUM('[8]Division 012'!BU$124:BU$125)</f>
        <v>-410946.2</v>
      </c>
      <c r="G30" s="1154">
        <f>SUM('[8]Division 012'!BV$124:BV$125)</f>
        <v>-410946.2</v>
      </c>
      <c r="H30" s="1154">
        <f>SUM('[8]Division 012'!BW$124:BW$125)</f>
        <v>-410946.2</v>
      </c>
      <c r="I30" s="1154">
        <f>SUM('[8]Division 012'!BX$124:BX$125)</f>
        <v>-410946.2</v>
      </c>
      <c r="J30" s="1154">
        <f>SUM('[8]Division 012'!BY$124:BY$125)</f>
        <v>-410946.2</v>
      </c>
      <c r="K30" s="1154">
        <f>SUM('[8]Division 012'!BZ$124:BZ$125)</f>
        <v>-410946.2</v>
      </c>
      <c r="L30" s="1154">
        <f>SUM('[8]Division 012'!CA$124:CA$125)</f>
        <v>-410946.2</v>
      </c>
      <c r="M30" s="1154">
        <f>SUM('[8]Division 012'!CB$124:CB$125)</f>
        <v>-410946.2</v>
      </c>
      <c r="N30" s="1154">
        <f>SUM('[8]Division 012'!CC$124:CC$125)</f>
        <v>-410946.2</v>
      </c>
      <c r="O30" s="1154">
        <f>SUM('[8]Division 012'!CD$124:CD$125)</f>
        <v>-410946.2</v>
      </c>
      <c r="P30" s="1154">
        <f>SUM('[8]Division 012'!CE$124:CE$125)</f>
        <v>-410946.2</v>
      </c>
      <c r="Q30" s="730">
        <f>(SUM(D30:P30))/13</f>
        <v>-410946.20000000013</v>
      </c>
    </row>
    <row r="31" spans="1:18">
      <c r="A31" s="805">
        <f t="shared" si="0"/>
        <v>19</v>
      </c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491"/>
    </row>
    <row r="32" spans="1:18">
      <c r="A32" s="805">
        <f t="shared" si="0"/>
        <v>20</v>
      </c>
      <c r="C32" s="17" t="s">
        <v>690</v>
      </c>
      <c r="D32" s="798">
        <f>SUM('[8]Division 012'!BS$126:BS$127)</f>
        <v>-30484020.719999999</v>
      </c>
      <c r="E32" s="798">
        <f>SUM('[8]Division 012'!BT$126:BT$127)</f>
        <v>-30484020.719999999</v>
      </c>
      <c r="F32" s="798">
        <f>SUM('[8]Division 012'!BU$126:BU$127)</f>
        <v>-30484020.719999999</v>
      </c>
      <c r="G32" s="798">
        <f>SUM('[8]Division 012'!BV$126:BV$127)</f>
        <v>-30484020.719999999</v>
      </c>
      <c r="H32" s="798">
        <f>SUM('[8]Division 012'!BW$126:BW$127)</f>
        <v>-30484020.719999999</v>
      </c>
      <c r="I32" s="798">
        <f>SUM('[8]Division 012'!BX$126:BX$127)</f>
        <v>-30405842.113077439</v>
      </c>
      <c r="J32" s="798">
        <f>SUM('[8]Division 012'!BY$126:BY$127)</f>
        <v>-30446132.828228064</v>
      </c>
      <c r="K32" s="798">
        <f>SUM('[8]Division 012'!BZ$126:BZ$127)</f>
        <v>-30442639.107992616</v>
      </c>
      <c r="L32" s="798">
        <f>SUM('[8]Division 012'!CA$126:CA$127)</f>
        <v>-30334938.3994147</v>
      </c>
      <c r="M32" s="798">
        <f>SUM('[8]Division 012'!CB$126:CB$127)</f>
        <v>-30227262.420225274</v>
      </c>
      <c r="N32" s="798">
        <f>SUM('[8]Division 012'!CC$126:CC$127)</f>
        <v>-30119703.409056645</v>
      </c>
      <c r="O32" s="798">
        <f>SUM('[8]Division 012'!CD$126:CD$127)</f>
        <v>-30013296.446212091</v>
      </c>
      <c r="P32" s="798">
        <f>SUM('[8]Division 012'!CE$126:CE$127)</f>
        <v>-29890316.218740851</v>
      </c>
      <c r="Q32" s="801">
        <f>(SUM(D32:P32))/13</f>
        <v>-30330787.272534434</v>
      </c>
    </row>
    <row r="33" spans="1:18">
      <c r="A33" s="805">
        <f t="shared" si="0"/>
        <v>21</v>
      </c>
      <c r="B33" s="489"/>
      <c r="C33" s="4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491"/>
    </row>
    <row r="34" spans="1:18">
      <c r="A34" s="805">
        <f t="shared" si="0"/>
        <v>22</v>
      </c>
      <c r="C34" s="17" t="s">
        <v>691</v>
      </c>
      <c r="D34" s="798">
        <f>'[8]Division 012'!BS$128</f>
        <v>0</v>
      </c>
      <c r="E34" s="798">
        <f>'[8]Division 012'!BT$128</f>
        <v>0</v>
      </c>
      <c r="F34" s="798">
        <f>'[8]Division 012'!BU$128</f>
        <v>0</v>
      </c>
      <c r="G34" s="798">
        <f>'[8]Division 012'!BV$128</f>
        <v>0</v>
      </c>
      <c r="H34" s="798">
        <f>'[8]Division 012'!BW$128</f>
        <v>0</v>
      </c>
      <c r="I34" s="798">
        <f>'[8]Division 012'!BX$128</f>
        <v>0</v>
      </c>
      <c r="J34" s="798">
        <f>'[8]Division 012'!BY$128</f>
        <v>0</v>
      </c>
      <c r="K34" s="798">
        <f>'[8]Division 012'!BZ$128</f>
        <v>0</v>
      </c>
      <c r="L34" s="798">
        <f>'[8]Division 012'!CA$128</f>
        <v>0</v>
      </c>
      <c r="M34" s="798">
        <f>'[8]Division 012'!CB$128</f>
        <v>0</v>
      </c>
      <c r="N34" s="798">
        <f>'[8]Division 012'!CC$128</f>
        <v>0</v>
      </c>
      <c r="O34" s="798">
        <f>'[8]Division 012'!CD$128</f>
        <v>0</v>
      </c>
      <c r="P34" s="798">
        <f>'[8]Division 012'!CE$128</f>
        <v>0</v>
      </c>
      <c r="Q34" s="801">
        <f>(SUM(D34:P34))/13</f>
        <v>0</v>
      </c>
    </row>
    <row r="35" spans="1:18">
      <c r="A35" s="805">
        <f t="shared" si="0"/>
        <v>23</v>
      </c>
      <c r="B35" s="489"/>
      <c r="C35" s="4"/>
      <c r="D35" s="103"/>
      <c r="E35" s="103"/>
      <c r="F35" s="103"/>
      <c r="G35" s="103"/>
      <c r="H35" s="103"/>
      <c r="I35" s="100"/>
      <c r="J35" s="100"/>
      <c r="K35" s="100"/>
      <c r="L35" s="581"/>
      <c r="M35" s="581"/>
      <c r="N35" s="581"/>
      <c r="O35" s="581"/>
      <c r="P35" s="107"/>
    </row>
    <row r="36" spans="1:18">
      <c r="A36" s="805">
        <f t="shared" si="0"/>
        <v>24</v>
      </c>
      <c r="C36" s="26" t="s">
        <v>735</v>
      </c>
      <c r="D36" s="755">
        <f t="shared" ref="D36:P36" si="3">SUM(D30:D34)</f>
        <v>-30894966.919999998</v>
      </c>
      <c r="E36" s="755">
        <f t="shared" si="3"/>
        <v>-30894966.919999998</v>
      </c>
      <c r="F36" s="755">
        <f t="shared" si="3"/>
        <v>-30894966.919999998</v>
      </c>
      <c r="G36" s="755">
        <f t="shared" si="3"/>
        <v>-30894966.919999998</v>
      </c>
      <c r="H36" s="755">
        <f t="shared" si="3"/>
        <v>-30894966.919999998</v>
      </c>
      <c r="I36" s="755">
        <f t="shared" si="3"/>
        <v>-30816788.313077439</v>
      </c>
      <c r="J36" s="755">
        <f t="shared" si="3"/>
        <v>-30857079.028228063</v>
      </c>
      <c r="K36" s="755">
        <f>SUM(K30:K34)</f>
        <v>-30853585.307992615</v>
      </c>
      <c r="L36" s="755">
        <f t="shared" si="3"/>
        <v>-30745884.599414699</v>
      </c>
      <c r="M36" s="755">
        <f t="shared" si="3"/>
        <v>-30638208.620225273</v>
      </c>
      <c r="N36" s="755">
        <f t="shared" si="3"/>
        <v>-30530649.609056644</v>
      </c>
      <c r="O36" s="755">
        <f t="shared" si="3"/>
        <v>-30424242.64621209</v>
      </c>
      <c r="P36" s="721">
        <f t="shared" si="3"/>
        <v>-30301262.41874085</v>
      </c>
      <c r="Q36" s="722">
        <f>(SUM(D36:P36))/13</f>
        <v>-30741733.472534437</v>
      </c>
      <c r="R36" s="801"/>
    </row>
    <row r="37" spans="1:18">
      <c r="A37" s="805">
        <f t="shared" si="0"/>
        <v>25</v>
      </c>
      <c r="C37" s="26"/>
      <c r="D37" s="103"/>
      <c r="E37" s="103"/>
      <c r="F37" s="103"/>
      <c r="G37" s="100"/>
      <c r="I37" s="100"/>
      <c r="J37" s="100"/>
      <c r="K37" s="100"/>
      <c r="L37" s="581"/>
      <c r="M37" s="581"/>
      <c r="N37" s="581"/>
      <c r="O37" s="581"/>
      <c r="P37" s="107"/>
    </row>
    <row r="38" spans="1:18" ht="15.75">
      <c r="A38" s="805">
        <f t="shared" si="0"/>
        <v>26</v>
      </c>
      <c r="B38" s="12" t="s">
        <v>692</v>
      </c>
      <c r="D38" s="100"/>
      <c r="E38" s="100"/>
      <c r="F38" s="100"/>
      <c r="G38" s="100"/>
      <c r="I38" s="100"/>
      <c r="J38" s="100"/>
      <c r="K38" s="100"/>
      <c r="L38" s="581"/>
      <c r="M38" s="581"/>
      <c r="N38" s="581"/>
      <c r="O38" s="581"/>
      <c r="P38" s="107"/>
    </row>
    <row r="39" spans="1:18">
      <c r="A39" s="805">
        <f t="shared" si="0"/>
        <v>27</v>
      </c>
      <c r="C39" s="17" t="s">
        <v>689</v>
      </c>
      <c r="D39" s="1154">
        <f>SUM('[8]Division 091'!BS$124:BS$125)</f>
        <v>7277330.21</v>
      </c>
      <c r="E39" s="1154">
        <f>SUM('[8]Division 091'!BT$124:BT$125)</f>
        <v>7277330.21</v>
      </c>
      <c r="F39" s="1154">
        <f>SUM('[8]Division 091'!BU$124:BU$125)</f>
        <v>7277330.21</v>
      </c>
      <c r="G39" s="1154">
        <f>SUM('[8]Division 091'!BV$124:BV$125)</f>
        <v>7277330.21</v>
      </c>
      <c r="H39" s="1154">
        <f>SUM('[8]Division 091'!BW$124:BW$125)</f>
        <v>7277330.21</v>
      </c>
      <c r="I39" s="1154">
        <f>SUM('[8]Division 091'!BX$124:BX$125)</f>
        <v>6664194.4000000004</v>
      </c>
      <c r="J39" s="1154">
        <f>SUM('[8]Division 091'!BY$124:BY$125)</f>
        <v>6664194.4000000004</v>
      </c>
      <c r="K39" s="1154">
        <f>SUM('[8]Division 091'!BZ$124:BZ$125)</f>
        <v>6664194.4000000004</v>
      </c>
      <c r="L39" s="1154">
        <f>SUM('[8]Division 091'!CA$124:CA$125)</f>
        <v>6664194.4000000004</v>
      </c>
      <c r="M39" s="1154">
        <f>SUM('[8]Division 091'!CB$124:CB$125)</f>
        <v>6664194.4000000004</v>
      </c>
      <c r="N39" s="1154">
        <f>SUM('[8]Division 091'!CC$124:CC$125)</f>
        <v>6664194.4000000004</v>
      </c>
      <c r="O39" s="1154">
        <f>SUM('[8]Division 091'!CD$124:CD$125)</f>
        <v>6664194.4000000004</v>
      </c>
      <c r="P39" s="1154">
        <f>SUM('[8]Division 091'!CE$124:CE$125)</f>
        <v>6664194.4000000004</v>
      </c>
      <c r="Q39" s="730">
        <f>(SUM(D39:P39))/13</f>
        <v>6900015.8653846169</v>
      </c>
    </row>
    <row r="40" spans="1:18">
      <c r="A40" s="805">
        <f t="shared" si="0"/>
        <v>28</v>
      </c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491"/>
    </row>
    <row r="41" spans="1:18">
      <c r="A41" s="805">
        <f t="shared" si="0"/>
        <v>29</v>
      </c>
      <c r="C41" s="17" t="s">
        <v>690</v>
      </c>
      <c r="D41" s="798">
        <f>SUM('[8]Division 091'!BS$126:BS$127)</f>
        <v>-3887598.51</v>
      </c>
      <c r="E41" s="798">
        <f>SUM('[8]Division 091'!BT$126:BT$127)</f>
        <v>-10301750.109999999</v>
      </c>
      <c r="F41" s="798">
        <f>SUM('[8]Division 091'!BU$126:BU$127)</f>
        <v>-10301750.109999999</v>
      </c>
      <c r="G41" s="798">
        <f>SUM('[8]Division 091'!BV$126:BV$127)</f>
        <v>-10301750.109999999</v>
      </c>
      <c r="H41" s="798">
        <f>SUM('[8]Division 091'!BW$126:BW$127)</f>
        <v>-4144277.2600000007</v>
      </c>
      <c r="I41" s="798">
        <f>SUM('[8]Division 091'!BX$126:BX$127)</f>
        <v>-5471535.5206801444</v>
      </c>
      <c r="J41" s="798">
        <f>SUM('[8]Division 091'!BY$126:BY$127)</f>
        <v>-5425163.31744189</v>
      </c>
      <c r="K41" s="798">
        <f>SUM('[8]Division 091'!BZ$126:BZ$127)</f>
        <v>-5447345.2972033788</v>
      </c>
      <c r="L41" s="798">
        <f>SUM('[8]Division 091'!CA$126:CA$127)</f>
        <v>-5445300.4229961839</v>
      </c>
      <c r="M41" s="798">
        <f>SUM('[8]Division 091'!CB$126:CB$127)</f>
        <v>-5443255.5487889871</v>
      </c>
      <c r="N41" s="798">
        <f>SUM('[8]Division 091'!CC$126:CC$127)</f>
        <v>-5441210.6745817903</v>
      </c>
      <c r="O41" s="798">
        <f>SUM('[8]Division 091'!CD$126:CD$127)</f>
        <v>-5439165.8003745954</v>
      </c>
      <c r="P41" s="798">
        <f>SUM('[8]Division 091'!CE$126:CE$127)</f>
        <v>-5437120.9261673987</v>
      </c>
      <c r="Q41" s="801">
        <f>(SUM(D41:P41))/13</f>
        <v>-6345171.0467872582</v>
      </c>
    </row>
    <row r="42" spans="1:18">
      <c r="A42" s="805">
        <f t="shared" si="0"/>
        <v>30</v>
      </c>
      <c r="B42" s="2"/>
      <c r="C42" s="4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491"/>
    </row>
    <row r="43" spans="1:18">
      <c r="A43" s="805">
        <f t="shared" si="0"/>
        <v>31</v>
      </c>
      <c r="C43" s="17" t="s">
        <v>691</v>
      </c>
      <c r="D43" s="798">
        <f>SUM('[8]Division 091'!BS$128:BS$130)</f>
        <v>-1768233.01</v>
      </c>
      <c r="E43" s="798">
        <f>SUM('[8]Division 091'!BT$128:BT$130)</f>
        <v>-1768233.01</v>
      </c>
      <c r="F43" s="798">
        <f>SUM('[8]Division 091'!BU$128:BU$130)</f>
        <v>-1768233.01</v>
      </c>
      <c r="G43" s="798">
        <f>SUM('[8]Division 091'!BV$128:BV$130)</f>
        <v>-1768233.01</v>
      </c>
      <c r="H43" s="798">
        <f>SUM('[8]Division 091'!BW$128:BW$130)</f>
        <v>-1768233.01</v>
      </c>
      <c r="I43" s="798">
        <f>SUM('[8]Division 091'!BX$128:BX$130)</f>
        <v>-1472160.1949999998</v>
      </c>
      <c r="J43" s="798">
        <f>SUM('[8]Division 091'!BY$128:BY$130)</f>
        <v>-1472160.1949999998</v>
      </c>
      <c r="K43" s="798">
        <f>SUM('[8]Division 091'!BZ$128:BZ$130)</f>
        <v>-1472160.1949999998</v>
      </c>
      <c r="L43" s="798">
        <f>SUM('[8]Division 091'!CA$128:CA$130)</f>
        <v>-1472160.1949999998</v>
      </c>
      <c r="M43" s="798">
        <f>SUM('[8]Division 091'!CB$128:CB$130)</f>
        <v>-1472160.1949999998</v>
      </c>
      <c r="N43" s="798">
        <f>SUM('[8]Division 091'!CC$128:CC$130)</f>
        <v>-1472160.1949999998</v>
      </c>
      <c r="O43" s="798">
        <f>SUM('[8]Division 091'!CD$128:CD$130)</f>
        <v>-1472160.1949999998</v>
      </c>
      <c r="P43" s="798">
        <f>SUM('[8]Division 091'!CE$128:CE$130)</f>
        <v>-1472160.1949999998</v>
      </c>
      <c r="Q43" s="801">
        <f>(SUM(D43:P43))/13</f>
        <v>-1586034.3546153849</v>
      </c>
    </row>
    <row r="44" spans="1:18">
      <c r="A44" s="805">
        <f t="shared" si="0"/>
        <v>32</v>
      </c>
      <c r="C44" s="4"/>
      <c r="D44" s="798"/>
      <c r="E44" s="798"/>
      <c r="F44" s="798"/>
      <c r="G44" s="798"/>
      <c r="H44" s="798"/>
      <c r="I44" s="798"/>
      <c r="J44" s="798"/>
      <c r="K44" s="798"/>
      <c r="L44" s="800"/>
      <c r="M44" s="800"/>
      <c r="N44" s="800"/>
      <c r="O44" s="800"/>
      <c r="P44" s="800"/>
      <c r="Q44" s="491"/>
    </row>
    <row r="45" spans="1:18">
      <c r="A45" s="805">
        <f t="shared" si="0"/>
        <v>33</v>
      </c>
      <c r="C45" s="813" t="s">
        <v>453</v>
      </c>
      <c r="D45" s="798">
        <f>-'[8]Division 091 GL'!$J$11</f>
        <v>-11421</v>
      </c>
      <c r="E45" s="798">
        <f>-'[8]Division 091 GL'!$J$11</f>
        <v>-11421</v>
      </c>
      <c r="F45" s="798">
        <f>-'[8]Division 091 GL'!$J$11</f>
        <v>-11421</v>
      </c>
      <c r="G45" s="798">
        <f>-'[8]Division 091 GL'!$J$11</f>
        <v>-11421</v>
      </c>
      <c r="H45" s="798">
        <f>-'[8]Division 091 GL'!$J$11</f>
        <v>-11421</v>
      </c>
      <c r="I45" s="798">
        <f>-'[8]Division 091 GL'!$J$11</f>
        <v>-11421</v>
      </c>
      <c r="J45" s="798">
        <f>-'[8]Division 091 GL'!$J$11</f>
        <v>-11421</v>
      </c>
      <c r="K45" s="798">
        <f>J45</f>
        <v>-11421</v>
      </c>
      <c r="L45" s="798">
        <f t="shared" ref="L45:P45" si="4">K45</f>
        <v>-11421</v>
      </c>
      <c r="M45" s="798">
        <f t="shared" si="4"/>
        <v>-11421</v>
      </c>
      <c r="N45" s="798">
        <f t="shared" si="4"/>
        <v>-11421</v>
      </c>
      <c r="O45" s="798">
        <f t="shared" si="4"/>
        <v>-11421</v>
      </c>
      <c r="P45" s="798">
        <f t="shared" si="4"/>
        <v>-11421</v>
      </c>
      <c r="Q45" s="801">
        <f>(SUM(D45:P45))/13</f>
        <v>-11421</v>
      </c>
    </row>
    <row r="46" spans="1:18">
      <c r="A46" s="805">
        <f t="shared" si="0"/>
        <v>34</v>
      </c>
      <c r="B46" s="489"/>
      <c r="C46" s="4"/>
      <c r="D46" s="103"/>
      <c r="E46" s="63"/>
      <c r="F46" s="63"/>
      <c r="G46" s="103"/>
      <c r="H46" s="103"/>
      <c r="I46" s="100"/>
      <c r="J46" s="100"/>
      <c r="K46" s="100"/>
      <c r="L46" s="492"/>
      <c r="M46" s="581"/>
      <c r="N46" s="581"/>
      <c r="O46" s="581"/>
      <c r="P46" s="581"/>
    </row>
    <row r="47" spans="1:18">
      <c r="A47" s="805">
        <f t="shared" si="0"/>
        <v>35</v>
      </c>
      <c r="C47" s="26" t="s">
        <v>452</v>
      </c>
      <c r="D47" s="755">
        <f>SUM(D39:D46)</f>
        <v>1610077.6900000002</v>
      </c>
      <c r="E47" s="755">
        <f t="shared" ref="E47:P47" si="5">SUM(E39:E46)</f>
        <v>-4804073.9099999992</v>
      </c>
      <c r="F47" s="755">
        <f t="shared" si="5"/>
        <v>-4804073.9099999992</v>
      </c>
      <c r="G47" s="755">
        <f t="shared" si="5"/>
        <v>-4804073.9099999992</v>
      </c>
      <c r="H47" s="755">
        <f t="shared" si="5"/>
        <v>1353398.9399999992</v>
      </c>
      <c r="I47" s="755">
        <f t="shared" si="5"/>
        <v>-290922.31568014389</v>
      </c>
      <c r="J47" s="755">
        <f t="shared" si="5"/>
        <v>-244550.11244188948</v>
      </c>
      <c r="K47" s="755">
        <f t="shared" si="5"/>
        <v>-266732.09220337821</v>
      </c>
      <c r="L47" s="755">
        <f t="shared" si="5"/>
        <v>-264687.21799618332</v>
      </c>
      <c r="M47" s="755">
        <f t="shared" si="5"/>
        <v>-262642.34378898656</v>
      </c>
      <c r="N47" s="755">
        <f t="shared" si="5"/>
        <v>-260597.4695817898</v>
      </c>
      <c r="O47" s="755">
        <f t="shared" si="5"/>
        <v>-258552.59537459491</v>
      </c>
      <c r="P47" s="755">
        <f t="shared" si="5"/>
        <v>-256507.72116739815</v>
      </c>
      <c r="Q47" s="722">
        <f>(SUM(D47:P47))/13</f>
        <v>-1042610.5360180282</v>
      </c>
      <c r="R47" s="801"/>
    </row>
    <row r="48" spans="1:18">
      <c r="A48" s="805">
        <f t="shared" si="0"/>
        <v>36</v>
      </c>
      <c r="D48" s="47"/>
      <c r="E48" s="47"/>
      <c r="F48" s="47"/>
      <c r="G48" s="47"/>
      <c r="I48" s="47"/>
      <c r="J48" s="47"/>
      <c r="K48" s="47"/>
      <c r="L48" s="100"/>
      <c r="M48" s="107"/>
      <c r="N48" s="107"/>
      <c r="O48" s="107"/>
      <c r="P48" s="581"/>
    </row>
    <row r="49" spans="1:17" ht="15.75" thickBot="1">
      <c r="A49" s="805">
        <f t="shared" si="0"/>
        <v>37</v>
      </c>
      <c r="B49" s="47"/>
      <c r="C49" s="1" t="s">
        <v>101</v>
      </c>
      <c r="D49" s="425">
        <f>D47+D36+D28+D19</f>
        <v>481276480.31830001</v>
      </c>
      <c r="E49" s="425">
        <f t="shared" ref="E49:P49" si="6">E47+E36+E28+E19</f>
        <v>387650305.70000005</v>
      </c>
      <c r="F49" s="425">
        <f t="shared" si="6"/>
        <v>378962851.28000009</v>
      </c>
      <c r="G49" s="425">
        <f t="shared" si="6"/>
        <v>373646591.32000005</v>
      </c>
      <c r="H49" s="425">
        <f t="shared" si="6"/>
        <v>339000275.45999992</v>
      </c>
      <c r="I49" s="425">
        <f t="shared" si="6"/>
        <v>379204192.20869517</v>
      </c>
      <c r="J49" s="425">
        <f t="shared" si="6"/>
        <v>378301952.28507125</v>
      </c>
      <c r="K49" s="425">
        <f t="shared" si="6"/>
        <v>374211545.92705965</v>
      </c>
      <c r="L49" s="428">
        <f t="shared" si="6"/>
        <v>373374650.67872494</v>
      </c>
      <c r="M49" s="428">
        <f t="shared" si="6"/>
        <v>372186662.97997057</v>
      </c>
      <c r="N49" s="428">
        <f t="shared" si="6"/>
        <v>370359279.93024939</v>
      </c>
      <c r="O49" s="428">
        <f t="shared" si="6"/>
        <v>369420367.8394779</v>
      </c>
      <c r="P49" s="428">
        <f t="shared" si="6"/>
        <v>368466897.35137713</v>
      </c>
      <c r="Q49" s="425">
        <f>(SUM(D49:P49))/13</f>
        <v>380466311.79068667</v>
      </c>
    </row>
    <row r="50" spans="1:17" ht="15.75" thickTop="1">
      <c r="A50" s="47"/>
      <c r="B50" s="47"/>
      <c r="L50" s="107"/>
      <c r="M50" s="107"/>
      <c r="N50" s="107"/>
      <c r="O50" s="107"/>
      <c r="P50" s="10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1536</v>
      </c>
    </row>
    <row r="53" spans="1:17">
      <c r="A53" s="47"/>
      <c r="B53" s="47"/>
    </row>
    <row r="54" spans="1:17">
      <c r="A54" s="47"/>
      <c r="B54" s="47"/>
    </row>
    <row r="55" spans="1:17">
      <c r="A55" s="47"/>
      <c r="B55" s="47"/>
    </row>
    <row r="56" spans="1:17">
      <c r="A56" s="47"/>
      <c r="B56" s="47"/>
    </row>
    <row r="57" spans="1:17">
      <c r="D57" s="771"/>
    </row>
    <row r="58" spans="1:17">
      <c r="D58" s="771"/>
    </row>
    <row r="59" spans="1:17">
      <c r="D59" s="771"/>
    </row>
    <row r="61" spans="1:17">
      <c r="H61" s="1"/>
    </row>
    <row r="62" spans="1:17">
      <c r="H62" s="1"/>
    </row>
    <row r="63" spans="1:17">
      <c r="H63" s="1"/>
    </row>
    <row r="64" spans="1:17">
      <c r="C64" s="119"/>
      <c r="H64" s="1"/>
    </row>
    <row r="65" spans="3:16">
      <c r="C65" s="491"/>
      <c r="H65" s="1"/>
    </row>
    <row r="66" spans="3:16">
      <c r="H66" s="1"/>
    </row>
    <row r="69" spans="3:16">
      <c r="H69" s="1"/>
      <c r="K69" s="107"/>
    </row>
    <row r="70" spans="3:16">
      <c r="H70" s="1"/>
      <c r="K70" s="107"/>
    </row>
    <row r="71" spans="3:16">
      <c r="H71" s="1"/>
      <c r="K71" s="107"/>
    </row>
    <row r="72" spans="3:16">
      <c r="C72" s="119"/>
      <c r="H72" s="1"/>
      <c r="K72" s="107"/>
    </row>
    <row r="74" spans="3:16">
      <c r="H74" s="1"/>
      <c r="K74" s="119"/>
      <c r="L74" s="119"/>
      <c r="M74" s="119"/>
      <c r="N74" s="119"/>
      <c r="O74" s="119"/>
      <c r="P74" s="119"/>
    </row>
    <row r="78" spans="3:16">
      <c r="K78" s="771"/>
    </row>
  </sheetData>
  <mergeCells count="3">
    <mergeCell ref="A1:Q1"/>
    <mergeCell ref="A2:Q2"/>
    <mergeCell ref="A3:Q3"/>
  </mergeCells>
  <phoneticPr fontId="24" type="noConversion"/>
  <printOptions horizontalCentered="1"/>
  <pageMargins left="0.33" right="0.33" top="0.93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80" zoomScaleNormal="70" zoomScaleSheetLayoutView="8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P15" sqref="P15"/>
    </sheetView>
  </sheetViews>
  <sheetFormatPr defaultColWidth="8.44140625" defaultRowHeight="15"/>
  <cols>
    <col min="1" max="1" width="5" style="1" customWidth="1"/>
    <col min="2" max="2" width="5.6640625" style="1" customWidth="1"/>
    <col min="3" max="3" width="49.33203125" style="1" bestFit="1" customWidth="1"/>
    <col min="4" max="4" width="13.21875" style="1" bestFit="1" customWidth="1"/>
    <col min="5" max="7" width="13.109375" style="1" bestFit="1" customWidth="1"/>
    <col min="8" max="8" width="13.109375" style="100" bestFit="1" customWidth="1"/>
    <col min="9" max="17" width="13.109375" style="1" bestFit="1" customWidth="1"/>
    <col min="18" max="18" width="9.33203125" style="1" bestFit="1" customWidth="1"/>
    <col min="19" max="16384" width="8.44140625" style="1"/>
  </cols>
  <sheetData>
    <row r="1" spans="1:17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7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>
      <c r="A3" s="1246" t="s">
        <v>525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7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7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9"/>
      <c r="F9" s="2"/>
      <c r="G9" s="2"/>
      <c r="H9" s="101"/>
      <c r="I9" s="2"/>
      <c r="J9" s="299"/>
      <c r="K9" s="2"/>
    </row>
    <row r="10" spans="1:17">
      <c r="A10" s="2" t="s">
        <v>98</v>
      </c>
      <c r="B10" s="2" t="s">
        <v>99</v>
      </c>
      <c r="D10" s="76" t="s">
        <v>467</v>
      </c>
      <c r="E10" s="1048" t="s">
        <v>467</v>
      </c>
      <c r="F10" s="1048" t="s">
        <v>467</v>
      </c>
      <c r="G10" s="1048" t="s">
        <v>467</v>
      </c>
      <c r="H10" s="1048" t="s">
        <v>467</v>
      </c>
      <c r="I10" s="76" t="s">
        <v>1242</v>
      </c>
      <c r="J10" s="76" t="s">
        <v>1242</v>
      </c>
      <c r="K10" s="76" t="s">
        <v>1242</v>
      </c>
      <c r="L10" s="76" t="s">
        <v>1242</v>
      </c>
      <c r="M10" s="76" t="s">
        <v>1242</v>
      </c>
      <c r="N10" s="76" t="s">
        <v>1242</v>
      </c>
      <c r="O10" s="76" t="s">
        <v>1242</v>
      </c>
      <c r="P10" s="76" t="s">
        <v>1242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50">
        <f>'WP B.4.1F'!C8</f>
        <v>42520</v>
      </c>
      <c r="E11" s="450">
        <f>'WP B.4.1F'!D8</f>
        <v>42551</v>
      </c>
      <c r="F11" s="450">
        <f>'WP B.4.1F'!E8</f>
        <v>42582</v>
      </c>
      <c r="G11" s="450">
        <f>'WP B.4.1F'!F8</f>
        <v>42613</v>
      </c>
      <c r="H11" s="450">
        <f>'WP B.4.1F'!G8</f>
        <v>42643</v>
      </c>
      <c r="I11" s="450">
        <f>'WP B.4.1F'!H8</f>
        <v>42674</v>
      </c>
      <c r="J11" s="450">
        <f>'WP B.4.1F'!I8</f>
        <v>42704</v>
      </c>
      <c r="K11" s="450">
        <f>'WP B.4.1F'!J8</f>
        <v>42735</v>
      </c>
      <c r="L11" s="450">
        <f>'WP B.4.1F'!K8</f>
        <v>42766</v>
      </c>
      <c r="M11" s="450">
        <f>'WP B.4.1F'!L8</f>
        <v>42794</v>
      </c>
      <c r="N11" s="450">
        <f>'WP B.4.1F'!M8</f>
        <v>42825</v>
      </c>
      <c r="O11" s="450">
        <f>'WP B.4.1F'!N8</f>
        <v>42855</v>
      </c>
      <c r="P11" s="450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C13" s="17" t="s">
        <v>689</v>
      </c>
      <c r="D13" s="427">
        <f>SUM('[8]Division 009'!CH$124:CH$125)</f>
        <v>1904270.3399999999</v>
      </c>
      <c r="E13" s="427">
        <f>SUM('[8]Division 009'!CI$124:CI$125)</f>
        <v>1904270.3399999999</v>
      </c>
      <c r="F13" s="427">
        <f>SUM('[8]Division 009'!CJ$124:CJ$125)</f>
        <v>1904270.3399999999</v>
      </c>
      <c r="G13" s="427">
        <f>SUM('[8]Division 009'!CK$124:CK$125)</f>
        <v>1904270.3399999999</v>
      </c>
      <c r="H13" s="427">
        <f>SUM('[8]Division 009'!CL$124:CL$125)</f>
        <v>1904270.3399999999</v>
      </c>
      <c r="I13" s="427">
        <f>SUM('[8]Division 009'!CM$124:CM$125)</f>
        <v>1904270.3399999999</v>
      </c>
      <c r="J13" s="427">
        <f>SUM('[8]Division 009'!CN$124:CN$125)</f>
        <v>1904270.3399999999</v>
      </c>
      <c r="K13" s="427">
        <f>SUM('[8]Division 009'!CO$124:CO$125)</f>
        <v>1904270.3399999999</v>
      </c>
      <c r="L13" s="427">
        <f>SUM('[8]Division 009'!CP$124:CP$125)</f>
        <v>1904270.3399999999</v>
      </c>
      <c r="M13" s="427">
        <f>SUM('[8]Division 009'!CQ$124:CQ$125)</f>
        <v>1904270.3399999999</v>
      </c>
      <c r="N13" s="427">
        <f>SUM('[8]Division 009'!CR$124:CR$125)</f>
        <v>1904270.3399999999</v>
      </c>
      <c r="O13" s="427">
        <f>SUM('[8]Division 009'!CS$124:CS$125)</f>
        <v>1904270.3399999999</v>
      </c>
      <c r="P13" s="427">
        <f>SUM('[8]Division 009'!CT$124:CT$125)</f>
        <v>1904270.3399999999</v>
      </c>
      <c r="Q13" s="385">
        <f>(SUM(D13:P13))/13</f>
        <v>1904270.3399999999</v>
      </c>
    </row>
    <row r="14" spans="1:17" ht="14.25" customHeight="1">
      <c r="A14" s="2">
        <f>A13+1</f>
        <v>2</v>
      </c>
      <c r="B14" s="489"/>
      <c r="C14" s="4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394"/>
    </row>
    <row r="15" spans="1:17">
      <c r="A15" s="805">
        <f t="shared" ref="A15:A49" si="0">A14+1</f>
        <v>3</v>
      </c>
      <c r="C15" s="17" t="s">
        <v>690</v>
      </c>
      <c r="D15" s="492">
        <f>SUM('[8]Division 009'!CH$126:CH$127)</f>
        <v>-86576320.299222499</v>
      </c>
      <c r="E15" s="492">
        <f>SUM('[8]Division 009'!CI$126:CI$127)</f>
        <v>-92508735.930531621</v>
      </c>
      <c r="F15" s="492">
        <f>SUM('[8]Division 009'!CJ$126:CJ$127)</f>
        <v>-93755783.454922184</v>
      </c>
      <c r="G15" s="492">
        <f>SUM('[8]Division 009'!CK$126:CK$127)</f>
        <v>-94657456.219651341</v>
      </c>
      <c r="H15" s="492">
        <f>SUM('[8]Division 009'!CL$126:CL$127)</f>
        <v>-95718043.595163092</v>
      </c>
      <c r="I15" s="492">
        <f>SUM('[8]Division 009'!CM$126:CM$127)</f>
        <v>-96327522.297763616</v>
      </c>
      <c r="J15" s="492">
        <f>SUM('[8]Division 009'!CN$126:CN$127)</f>
        <v>-96965706.890161738</v>
      </c>
      <c r="K15" s="492">
        <f>SUM('[8]Division 009'!CO$126:CO$127)</f>
        <v>-97612342.280179217</v>
      </c>
      <c r="L15" s="492">
        <f>SUM('[8]Division 009'!CP$126:CP$127)</f>
        <v>-98091259.943018571</v>
      </c>
      <c r="M15" s="492">
        <f>SUM('[8]Division 009'!CQ$126:CQ$127)</f>
        <v>-98479190.618180528</v>
      </c>
      <c r="N15" s="492">
        <f>SUM('[8]Division 009'!CR$126:CR$127)</f>
        <v>-98777047.536207855</v>
      </c>
      <c r="O15" s="492">
        <f>SUM('[8]Division 009'!CS$126:CS$127)</f>
        <v>-98941650.182732195</v>
      </c>
      <c r="P15" s="492">
        <f>SUM('[8]Division 009'!CT$126:CT$127)</f>
        <v>-99006302.007768542</v>
      </c>
      <c r="Q15" s="394">
        <f t="shared" ref="Q15:Q41" si="1">(SUM(D15:P15))/13</f>
        <v>-95955181.635038689</v>
      </c>
    </row>
    <row r="16" spans="1:17" ht="14.25" customHeight="1">
      <c r="A16" s="805">
        <f t="shared" si="0"/>
        <v>4</v>
      </c>
      <c r="B16" s="489"/>
      <c r="C16" s="4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394"/>
    </row>
    <row r="17" spans="1:18">
      <c r="A17" s="805">
        <f t="shared" si="0"/>
        <v>5</v>
      </c>
      <c r="C17" s="17" t="s">
        <v>691</v>
      </c>
      <c r="D17" s="492">
        <f>SUM('[8]Division 009'!CH$128)</f>
        <v>-96035.15</v>
      </c>
      <c r="E17" s="492">
        <f>SUM('[8]Division 009'!CI$128)</f>
        <v>-96035.15</v>
      </c>
      <c r="F17" s="492">
        <f>SUM('[8]Division 009'!CJ$128)</f>
        <v>-96035.15</v>
      </c>
      <c r="G17" s="492">
        <f>SUM('[8]Division 009'!CK$128)</f>
        <v>-96035.15</v>
      </c>
      <c r="H17" s="492">
        <f>SUM('[8]Division 009'!CL$128)</f>
        <v>-96035.15</v>
      </c>
      <c r="I17" s="492">
        <f>SUM('[8]Division 009'!CM$128)</f>
        <v>-96035.15</v>
      </c>
      <c r="J17" s="492">
        <f>SUM('[8]Division 009'!CN$128)</f>
        <v>-96035.15</v>
      </c>
      <c r="K17" s="492">
        <f>SUM('[8]Division 009'!CO$128)</f>
        <v>-96035.15</v>
      </c>
      <c r="L17" s="492">
        <f>SUM('[8]Division 009'!CP$128)</f>
        <v>-96035.15</v>
      </c>
      <c r="M17" s="492">
        <f>SUM('[8]Division 009'!CQ$128)</f>
        <v>-96035.15</v>
      </c>
      <c r="N17" s="492">
        <f>SUM('[8]Division 009'!CR$128)</f>
        <v>-96035.15</v>
      </c>
      <c r="O17" s="492">
        <f>SUM('[8]Division 009'!CS$128)</f>
        <v>-96035.15</v>
      </c>
      <c r="P17" s="492">
        <f>SUM('[8]Division 009'!CT$128)</f>
        <v>-96035.15</v>
      </c>
      <c r="Q17" s="394">
        <f t="shared" si="1"/>
        <v>-96035.15</v>
      </c>
    </row>
    <row r="18" spans="1:18" ht="14.25" customHeight="1">
      <c r="A18" s="805">
        <f t="shared" si="0"/>
        <v>6</v>
      </c>
      <c r="B18" s="489"/>
      <c r="C18" s="4"/>
      <c r="D18" s="492"/>
      <c r="E18" s="492"/>
      <c r="F18" s="492"/>
      <c r="G18" s="492"/>
      <c r="H18" s="492"/>
      <c r="I18" s="496"/>
      <c r="J18" s="496"/>
      <c r="K18" s="496"/>
      <c r="L18" s="492"/>
      <c r="M18" s="581"/>
      <c r="N18" s="581"/>
      <c r="O18" s="581"/>
      <c r="P18" s="581"/>
      <c r="Q18" s="394"/>
    </row>
    <row r="19" spans="1:18">
      <c r="A19" s="805">
        <f t="shared" si="0"/>
        <v>7</v>
      </c>
      <c r="C19" s="26" t="s">
        <v>31</v>
      </c>
      <c r="D19" s="755">
        <f t="shared" ref="D19:P19" si="2">SUM(D13:D17)</f>
        <v>-84768085.109222502</v>
      </c>
      <c r="E19" s="755">
        <f t="shared" si="2"/>
        <v>-90700500.740531623</v>
      </c>
      <c r="F19" s="755">
        <f t="shared" si="2"/>
        <v>-91947548.264922187</v>
      </c>
      <c r="G19" s="755">
        <f t="shared" si="2"/>
        <v>-92849221.029651344</v>
      </c>
      <c r="H19" s="755">
        <f t="shared" si="2"/>
        <v>-93909808.405163094</v>
      </c>
      <c r="I19" s="755">
        <f t="shared" si="2"/>
        <v>-94519287.107763618</v>
      </c>
      <c r="J19" s="755">
        <f t="shared" si="2"/>
        <v>-95157471.70016174</v>
      </c>
      <c r="K19" s="755">
        <f t="shared" si="2"/>
        <v>-95804107.09017922</v>
      </c>
      <c r="L19" s="755">
        <f t="shared" si="2"/>
        <v>-96283024.753018573</v>
      </c>
      <c r="M19" s="755">
        <f t="shared" si="2"/>
        <v>-96670955.428180531</v>
      </c>
      <c r="N19" s="755">
        <f t="shared" si="2"/>
        <v>-96968812.346207857</v>
      </c>
      <c r="O19" s="755">
        <f t="shared" si="2"/>
        <v>-97133414.992732197</v>
      </c>
      <c r="P19" s="755">
        <f t="shared" si="2"/>
        <v>-97198066.817768544</v>
      </c>
      <c r="Q19" s="385">
        <f t="shared" si="1"/>
        <v>-94146946.445038706</v>
      </c>
      <c r="R19" s="801"/>
    </row>
    <row r="20" spans="1:18" ht="14.25" customHeight="1">
      <c r="A20" s="805">
        <f t="shared" si="0"/>
        <v>8</v>
      </c>
      <c r="B20" s="489"/>
      <c r="C20" s="4"/>
      <c r="D20" s="492"/>
      <c r="E20" s="492"/>
      <c r="F20" s="492"/>
      <c r="G20" s="492"/>
      <c r="H20" s="492"/>
      <c r="I20" s="496"/>
      <c r="J20" s="496"/>
      <c r="K20" s="496"/>
      <c r="L20" s="492"/>
      <c r="M20" s="581"/>
      <c r="N20" s="581"/>
      <c r="O20" s="581"/>
      <c r="P20" s="581"/>
      <c r="Q20" s="394"/>
    </row>
    <row r="21" spans="1:18" ht="15.75">
      <c r="A21" s="805">
        <f t="shared" si="0"/>
        <v>9</v>
      </c>
      <c r="B21" s="12" t="s">
        <v>219</v>
      </c>
      <c r="D21" s="496"/>
      <c r="E21" s="496"/>
      <c r="F21" s="496"/>
      <c r="G21" s="496"/>
      <c r="H21" s="496"/>
      <c r="I21" s="496"/>
      <c r="J21" s="496"/>
      <c r="K21" s="496"/>
      <c r="L21" s="496"/>
      <c r="M21" s="581"/>
      <c r="N21" s="581"/>
      <c r="O21" s="581"/>
      <c r="P21" s="581"/>
      <c r="Q21" s="394"/>
    </row>
    <row r="22" spans="1:18">
      <c r="A22" s="805">
        <f t="shared" si="0"/>
        <v>10</v>
      </c>
      <c r="C22" s="17" t="s">
        <v>689</v>
      </c>
      <c r="D22" s="427">
        <f>SUM('[8]Division 002'!CH$129:CH$130)</f>
        <v>484045051.19999999</v>
      </c>
      <c r="E22" s="427">
        <f>SUM('[8]Division 002'!CI$129:CI$130)</f>
        <v>484045051.19999999</v>
      </c>
      <c r="F22" s="427">
        <f>SUM('[8]Division 002'!CJ$129:CJ$130)</f>
        <v>484045051.19999999</v>
      </c>
      <c r="G22" s="427">
        <f>SUM('[8]Division 002'!CK$129:CK$130)</f>
        <v>484045051.19999999</v>
      </c>
      <c r="H22" s="427">
        <f>SUM('[8]Division 002'!CL$129:CL$130)</f>
        <v>484045051.19999999</v>
      </c>
      <c r="I22" s="427">
        <f>SUM('[8]Division 002'!CM$129:CM$130)</f>
        <v>484045051.19999999</v>
      </c>
      <c r="J22" s="427">
        <f>SUM('[8]Division 002'!CN$129:CN$130)</f>
        <v>484045051.19999999</v>
      </c>
      <c r="K22" s="427">
        <f>SUM('[8]Division 002'!CO$129:CO$130)</f>
        <v>484045051.19999999</v>
      </c>
      <c r="L22" s="427">
        <f>SUM('[8]Division 002'!CP$129:CP$130)</f>
        <v>484045051.19999999</v>
      </c>
      <c r="M22" s="427">
        <f>SUM('[8]Division 002'!CQ$129:CQ$130)</f>
        <v>484045051.19999999</v>
      </c>
      <c r="N22" s="427">
        <f>SUM('[8]Division 002'!CR$129:CR$130)</f>
        <v>484045051.19999999</v>
      </c>
      <c r="O22" s="427">
        <f>SUM('[8]Division 002'!CS$129:CS$130)</f>
        <v>484045051.19999999</v>
      </c>
      <c r="P22" s="427">
        <f>SUM('[8]Division 002'!CT$129:CT$130)</f>
        <v>484045051.19999999</v>
      </c>
      <c r="Q22" s="385">
        <f t="shared" si="1"/>
        <v>484045051.19999987</v>
      </c>
    </row>
    <row r="23" spans="1:18">
      <c r="A23" s="805">
        <f t="shared" si="0"/>
        <v>11</v>
      </c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394"/>
    </row>
    <row r="24" spans="1:18">
      <c r="A24" s="805">
        <f t="shared" si="0"/>
        <v>12</v>
      </c>
      <c r="C24" s="17" t="s">
        <v>690</v>
      </c>
      <c r="D24" s="492">
        <f>SUM('[8]Division 002'!CH$131:CH$132)</f>
        <v>-26692353.744408976</v>
      </c>
      <c r="E24" s="492">
        <f>SUM('[8]Division 002'!CI$131:CI$132)</f>
        <v>-26542925.331635792</v>
      </c>
      <c r="F24" s="492">
        <f>SUM('[8]Division 002'!CJ$131:CJ$132)</f>
        <v>-26378338.797771096</v>
      </c>
      <c r="G24" s="492">
        <f>SUM('[8]Division 002'!CK$131:CK$132)</f>
        <v>-26301989.362816121</v>
      </c>
      <c r="H24" s="492">
        <f>SUM('[8]Division 002'!CL$131:CL$132)</f>
        <v>-26236466.044171009</v>
      </c>
      <c r="I24" s="492">
        <f>SUM('[8]Division 002'!CM$131:CM$132)</f>
        <v>-26231489.905429967</v>
      </c>
      <c r="J24" s="492">
        <f>SUM('[8]Division 002'!CN$131:CN$132)</f>
        <v>-26368831.592140358</v>
      </c>
      <c r="K24" s="492">
        <f>SUM('[8]Division 002'!CO$131:CO$132)</f>
        <v>-26670881.523333784</v>
      </c>
      <c r="L24" s="492">
        <f>SUM('[8]Division 002'!CP$131:CP$132)</f>
        <v>-26711864.126222894</v>
      </c>
      <c r="M24" s="492">
        <f>SUM('[8]Division 002'!CQ$131:CQ$132)</f>
        <v>-26720923.77786056</v>
      </c>
      <c r="N24" s="492">
        <f>SUM('[8]Division 002'!CR$131:CR$132)</f>
        <v>-26719602.724741708</v>
      </c>
      <c r="O24" s="492">
        <f>SUM('[8]Division 002'!CS$131:CS$132)</f>
        <v>-26703718.174580779</v>
      </c>
      <c r="P24" s="492">
        <f>SUM('[8]Division 002'!CT$131:CT$132)</f>
        <v>-26699471.99418591</v>
      </c>
      <c r="Q24" s="394">
        <f t="shared" si="1"/>
        <v>-26536835.161484536</v>
      </c>
    </row>
    <row r="25" spans="1:18" ht="14.25" customHeight="1">
      <c r="A25" s="805">
        <f t="shared" si="0"/>
        <v>13</v>
      </c>
      <c r="B25" s="489"/>
      <c r="C25" s="4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394"/>
    </row>
    <row r="26" spans="1:18">
      <c r="A26" s="805">
        <f t="shared" si="0"/>
        <v>14</v>
      </c>
      <c r="C26" s="17" t="s">
        <v>691</v>
      </c>
      <c r="D26" s="492">
        <f>SUM('[8]Division 002'!CH$133:CH$135)</f>
        <v>22822184.905000001</v>
      </c>
      <c r="E26" s="492">
        <f>SUM('[8]Division 002'!CI$133:CI$135)</f>
        <v>22822184.905000001</v>
      </c>
      <c r="F26" s="492">
        <f>SUM('[8]Division 002'!CJ$133:CJ$135)</f>
        <v>22822184.905000001</v>
      </c>
      <c r="G26" s="492">
        <f>SUM('[8]Division 002'!CK$133:CK$135)</f>
        <v>22822184.905000001</v>
      </c>
      <c r="H26" s="492">
        <f>SUM('[8]Division 002'!CL$133:CL$135)</f>
        <v>22822184.905000001</v>
      </c>
      <c r="I26" s="492">
        <f>SUM('[8]Division 002'!CM$133:CM$135)</f>
        <v>22822184.905000001</v>
      </c>
      <c r="J26" s="492">
        <f>SUM('[8]Division 002'!CN$133:CN$135)</f>
        <v>22822184.905000001</v>
      </c>
      <c r="K26" s="492">
        <f>SUM('[8]Division 002'!CO$133:CO$135)</f>
        <v>22822184.905000001</v>
      </c>
      <c r="L26" s="492">
        <f>SUM('[8]Division 002'!CP$133:CP$135)</f>
        <v>22822184.905000001</v>
      </c>
      <c r="M26" s="492">
        <f>SUM('[8]Division 002'!CQ$133:CQ$135)</f>
        <v>22822184.905000001</v>
      </c>
      <c r="N26" s="492">
        <f>SUM('[8]Division 002'!CR$133:CR$135)</f>
        <v>22822184.905000001</v>
      </c>
      <c r="O26" s="492">
        <f>SUM('[8]Division 002'!CS$133:CS$135)</f>
        <v>22822184.905000001</v>
      </c>
      <c r="P26" s="492">
        <f>SUM('[8]Division 002'!CT$133:CT$135)</f>
        <v>22822184.905000001</v>
      </c>
      <c r="Q26" s="394">
        <f t="shared" si="1"/>
        <v>22822184.904999997</v>
      </c>
    </row>
    <row r="27" spans="1:18" ht="14.25" customHeight="1">
      <c r="A27" s="805">
        <f t="shared" si="0"/>
        <v>15</v>
      </c>
      <c r="B27" s="489"/>
      <c r="C27" s="4"/>
      <c r="D27" s="492"/>
      <c r="E27" s="492"/>
      <c r="F27" s="492"/>
      <c r="G27" s="492"/>
      <c r="H27" s="492"/>
      <c r="I27" s="496"/>
      <c r="J27" s="496"/>
      <c r="K27" s="496"/>
      <c r="L27" s="492"/>
      <c r="M27" s="581"/>
      <c r="N27" s="581"/>
      <c r="O27" s="581"/>
      <c r="P27" s="581"/>
      <c r="Q27" s="394"/>
    </row>
    <row r="28" spans="1:18">
      <c r="A28" s="805">
        <f t="shared" si="0"/>
        <v>16</v>
      </c>
      <c r="C28" s="26" t="s">
        <v>73</v>
      </c>
      <c r="D28" s="755">
        <f t="shared" ref="D28:P28" si="3">SUM(D22:D26)</f>
        <v>480174882.36059105</v>
      </c>
      <c r="E28" s="755">
        <f t="shared" si="3"/>
        <v>480324310.77336419</v>
      </c>
      <c r="F28" s="755">
        <f t="shared" si="3"/>
        <v>480488897.30722892</v>
      </c>
      <c r="G28" s="755">
        <f t="shared" si="3"/>
        <v>480565246.74218392</v>
      </c>
      <c r="H28" s="755">
        <f t="shared" si="3"/>
        <v>480630770.06082892</v>
      </c>
      <c r="I28" s="755">
        <f t="shared" si="3"/>
        <v>480635746.19957006</v>
      </c>
      <c r="J28" s="755">
        <f t="shared" si="3"/>
        <v>480498404.51285958</v>
      </c>
      <c r="K28" s="755">
        <f t="shared" si="3"/>
        <v>480196354.58166623</v>
      </c>
      <c r="L28" s="755">
        <f t="shared" si="3"/>
        <v>480155371.97877705</v>
      </c>
      <c r="M28" s="755">
        <f t="shared" si="3"/>
        <v>480146312.32713938</v>
      </c>
      <c r="N28" s="755">
        <f t="shared" si="3"/>
        <v>480147633.38025832</v>
      </c>
      <c r="O28" s="755">
        <f t="shared" si="3"/>
        <v>480163517.93041921</v>
      </c>
      <c r="P28" s="755">
        <f t="shared" si="3"/>
        <v>480167764.11081409</v>
      </c>
      <c r="Q28" s="385">
        <f t="shared" si="1"/>
        <v>480330400.94351548</v>
      </c>
      <c r="R28" s="801"/>
    </row>
    <row r="29" spans="1:18" ht="15.75">
      <c r="A29" s="805">
        <f t="shared" si="0"/>
        <v>17</v>
      </c>
      <c r="B29" s="12" t="s">
        <v>1137</v>
      </c>
      <c r="C29" s="26"/>
      <c r="D29" s="497"/>
      <c r="E29" s="497"/>
      <c r="F29" s="497"/>
      <c r="G29" s="499"/>
      <c r="H29" s="499"/>
      <c r="I29" s="499"/>
      <c r="J29" s="499"/>
      <c r="K29" s="499"/>
      <c r="L29" s="492"/>
      <c r="M29" s="581"/>
      <c r="N29" s="581"/>
      <c r="O29" s="581"/>
      <c r="P29" s="581"/>
      <c r="Q29" s="394"/>
    </row>
    <row r="30" spans="1:18">
      <c r="A30" s="805">
        <f t="shared" si="0"/>
        <v>18</v>
      </c>
      <c r="C30" s="17" t="s">
        <v>689</v>
      </c>
      <c r="D30" s="427">
        <f>SUM('[8]Division 012'!CH$124:CH$125)</f>
        <v>-410946.2</v>
      </c>
      <c r="E30" s="427">
        <f>SUM('[8]Division 012'!CI$124:CI$125)</f>
        <v>-410946.2</v>
      </c>
      <c r="F30" s="427">
        <f>SUM('[8]Division 012'!CJ$124:CJ$125)</f>
        <v>-410946.2</v>
      </c>
      <c r="G30" s="427">
        <f>SUM('[8]Division 012'!CK$124:CK$125)</f>
        <v>-410946.2</v>
      </c>
      <c r="H30" s="427">
        <f>SUM('[8]Division 012'!CL$124:CL$125)</f>
        <v>-410946.2</v>
      </c>
      <c r="I30" s="427">
        <f>SUM('[8]Division 012'!CM$124:CM$125)</f>
        <v>-410946.2</v>
      </c>
      <c r="J30" s="427">
        <f>SUM('[8]Division 012'!CN$124:CN$125)</f>
        <v>-410946.2</v>
      </c>
      <c r="K30" s="427">
        <f>SUM('[8]Division 012'!CO$124:CO$125)</f>
        <v>-410946.2</v>
      </c>
      <c r="L30" s="427">
        <f>SUM('[8]Division 012'!CP$124:CP$125)</f>
        <v>-410946.2</v>
      </c>
      <c r="M30" s="427">
        <f>SUM('[8]Division 012'!CQ$124:CQ$125)</f>
        <v>-410946.2</v>
      </c>
      <c r="N30" s="427">
        <f>SUM('[8]Division 012'!CR$124:CR$125)</f>
        <v>-410946.2</v>
      </c>
      <c r="O30" s="427">
        <f>SUM('[8]Division 012'!CS$124:CS$125)</f>
        <v>-410946.2</v>
      </c>
      <c r="P30" s="427">
        <f>SUM('[8]Division 012'!CT$124:CT$125)</f>
        <v>-410946.2</v>
      </c>
      <c r="Q30" s="385">
        <f t="shared" si="1"/>
        <v>-410946.20000000013</v>
      </c>
    </row>
    <row r="31" spans="1:18">
      <c r="A31" s="805">
        <f t="shared" si="0"/>
        <v>19</v>
      </c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394"/>
    </row>
    <row r="32" spans="1:18">
      <c r="A32" s="805">
        <f t="shared" si="0"/>
        <v>20</v>
      </c>
      <c r="C32" s="17" t="s">
        <v>690</v>
      </c>
      <c r="D32" s="492">
        <f>SUM('[8]Division 012'!CH$126:CH$127)</f>
        <v>-29521515.460608348</v>
      </c>
      <c r="E32" s="492">
        <f>SUM('[8]Division 012'!CI$126:CI$127)</f>
        <v>-30931583.386454459</v>
      </c>
      <c r="F32" s="492">
        <f>SUM('[8]Division 012'!CJ$126:CJ$127)</f>
        <v>-30804951.777786776</v>
      </c>
      <c r="G32" s="492">
        <f>SUM('[8]Division 012'!CK$126:CK$127)</f>
        <v>-30684769.042460054</v>
      </c>
      <c r="H32" s="492">
        <f>SUM('[8]Division 012'!CL$126:CL$127)</f>
        <v>-30604956.06944165</v>
      </c>
      <c r="I32" s="492">
        <f>SUM('[8]Division 012'!CM$126:CM$127)</f>
        <v>-30489408.676793013</v>
      </c>
      <c r="J32" s="492">
        <f>SUM('[8]Division 012'!CN$126:CN$127)</f>
        <v>-30389008.110577829</v>
      </c>
      <c r="K32" s="492">
        <f>SUM('[8]Division 012'!CO$126:CO$127)</f>
        <v>-30304328.73639014</v>
      </c>
      <c r="L32" s="492">
        <f>SUM('[8]Division 012'!CP$126:CP$127)</f>
        <v>-30235828.553681541</v>
      </c>
      <c r="M32" s="492">
        <f>SUM('[8]Division 012'!CQ$126:CQ$127)</f>
        <v>-30175552.049579576</v>
      </c>
      <c r="N32" s="492">
        <f>SUM('[8]Division 012'!CR$126:CR$127)</f>
        <v>-30133942.262698594</v>
      </c>
      <c r="O32" s="492">
        <f>SUM('[8]Division 012'!CS$126:CS$127)</f>
        <v>-30107311.181495354</v>
      </c>
      <c r="P32" s="492">
        <f>SUM('[8]Division 012'!CT$126:CT$127)</f>
        <v>-30098212.080159146</v>
      </c>
      <c r="Q32" s="394">
        <f t="shared" si="1"/>
        <v>-30344720.568317417</v>
      </c>
    </row>
    <row r="33" spans="1:18">
      <c r="A33" s="805">
        <f t="shared" si="0"/>
        <v>21</v>
      </c>
      <c r="B33" s="489"/>
      <c r="C33" s="4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394"/>
    </row>
    <row r="34" spans="1:18">
      <c r="A34" s="805">
        <f t="shared" si="0"/>
        <v>22</v>
      </c>
      <c r="C34" s="17" t="s">
        <v>691</v>
      </c>
      <c r="D34" s="492">
        <f>SUM('[8]Division 012'!CH$128:CH$130)</f>
        <v>0</v>
      </c>
      <c r="E34" s="492">
        <f>SUM('[8]Division 012'!CI$128:CI$130)</f>
        <v>0</v>
      </c>
      <c r="F34" s="492">
        <f>SUM('[8]Division 012'!CJ$128:CJ$130)</f>
        <v>0</v>
      </c>
      <c r="G34" s="492">
        <f>SUM('[8]Division 012'!CK$128:CK$130)</f>
        <v>0</v>
      </c>
      <c r="H34" s="492">
        <f>SUM('[8]Division 012'!CL$128:CL$130)</f>
        <v>0</v>
      </c>
      <c r="I34" s="492">
        <f>SUM('[8]Division 012'!CM$128:CM$130)</f>
        <v>0</v>
      </c>
      <c r="J34" s="492">
        <f>SUM('[8]Division 012'!CN$128:CN$130)</f>
        <v>0</v>
      </c>
      <c r="K34" s="492">
        <f>SUM('[8]Division 012'!CO$128:CO$130)</f>
        <v>0</v>
      </c>
      <c r="L34" s="492">
        <f>SUM('[8]Division 012'!CP$128:CP$130)</f>
        <v>0</v>
      </c>
      <c r="M34" s="492">
        <f>SUM('[8]Division 012'!CQ$128:CQ$130)</f>
        <v>0</v>
      </c>
      <c r="N34" s="492">
        <f>SUM('[8]Division 012'!CR$128:CR$130)</f>
        <v>0</v>
      </c>
      <c r="O34" s="492">
        <f>SUM('[8]Division 012'!CS$128:CS$130)</f>
        <v>0</v>
      </c>
      <c r="P34" s="492">
        <f>SUM('[8]Division 012'!CT$128:CT$130)</f>
        <v>0</v>
      </c>
      <c r="Q34" s="394">
        <f t="shared" si="1"/>
        <v>0</v>
      </c>
    </row>
    <row r="35" spans="1:18">
      <c r="A35" s="805">
        <f t="shared" si="0"/>
        <v>23</v>
      </c>
      <c r="B35" s="489"/>
      <c r="C35" s="4"/>
      <c r="D35" s="492"/>
      <c r="E35" s="492"/>
      <c r="F35" s="492"/>
      <c r="G35" s="492"/>
      <c r="H35" s="492"/>
      <c r="I35" s="496"/>
      <c r="J35" s="496"/>
      <c r="K35" s="496"/>
      <c r="L35" s="492"/>
      <c r="M35" s="581"/>
      <c r="N35" s="581"/>
      <c r="O35" s="581"/>
      <c r="P35" s="581"/>
      <c r="Q35" s="394"/>
    </row>
    <row r="36" spans="1:18">
      <c r="A36" s="805">
        <f t="shared" si="0"/>
        <v>24</v>
      </c>
      <c r="C36" s="26" t="s">
        <v>735</v>
      </c>
      <c r="D36" s="755">
        <f t="shared" ref="D36:P36" si="4">SUM(D30:D34)</f>
        <v>-29932461.660608348</v>
      </c>
      <c r="E36" s="755">
        <f t="shared" si="4"/>
        <v>-31342529.586454459</v>
      </c>
      <c r="F36" s="755">
        <f t="shared" si="4"/>
        <v>-31215897.977786776</v>
      </c>
      <c r="G36" s="755">
        <f t="shared" si="4"/>
        <v>-31095715.242460053</v>
      </c>
      <c r="H36" s="755">
        <f t="shared" si="4"/>
        <v>-31015902.269441649</v>
      </c>
      <c r="I36" s="755">
        <f t="shared" si="4"/>
        <v>-30900354.876793012</v>
      </c>
      <c r="J36" s="755">
        <f t="shared" si="4"/>
        <v>-30799954.310577828</v>
      </c>
      <c r="K36" s="755">
        <f t="shared" si="4"/>
        <v>-30715274.936390139</v>
      </c>
      <c r="L36" s="755">
        <f t="shared" si="4"/>
        <v>-30646774.75368154</v>
      </c>
      <c r="M36" s="755">
        <f t="shared" si="4"/>
        <v>-30586498.249579575</v>
      </c>
      <c r="N36" s="755">
        <f t="shared" si="4"/>
        <v>-30544888.462698594</v>
      </c>
      <c r="O36" s="755">
        <f t="shared" si="4"/>
        <v>-30518257.381495353</v>
      </c>
      <c r="P36" s="755">
        <f t="shared" si="4"/>
        <v>-30509158.280159146</v>
      </c>
      <c r="Q36" s="385">
        <f t="shared" si="1"/>
        <v>-30755666.768317416</v>
      </c>
      <c r="R36" s="801"/>
    </row>
    <row r="37" spans="1:18">
      <c r="A37" s="805">
        <f t="shared" si="0"/>
        <v>25</v>
      </c>
      <c r="C37" s="26"/>
      <c r="D37" s="492"/>
      <c r="E37" s="492"/>
      <c r="F37" s="492"/>
      <c r="G37" s="496"/>
      <c r="H37" s="496"/>
      <c r="I37" s="496"/>
      <c r="J37" s="496"/>
      <c r="K37" s="496"/>
      <c r="L37" s="492"/>
      <c r="M37" s="581"/>
      <c r="N37" s="581"/>
      <c r="O37" s="581"/>
      <c r="P37" s="581"/>
      <c r="Q37" s="394"/>
    </row>
    <row r="38" spans="1:18" ht="15.75">
      <c r="A38" s="805">
        <f t="shared" si="0"/>
        <v>26</v>
      </c>
      <c r="B38" s="12" t="s">
        <v>692</v>
      </c>
      <c r="D38" s="496"/>
      <c r="E38" s="496"/>
      <c r="F38" s="496"/>
      <c r="G38" s="496"/>
      <c r="H38" s="496"/>
      <c r="I38" s="496"/>
      <c r="J38" s="496"/>
      <c r="K38" s="496"/>
      <c r="L38" s="496"/>
      <c r="M38" s="581"/>
      <c r="N38" s="581"/>
      <c r="O38" s="581"/>
      <c r="P38" s="581"/>
      <c r="Q38" s="394"/>
    </row>
    <row r="39" spans="1:18">
      <c r="A39" s="805">
        <f t="shared" si="0"/>
        <v>27</v>
      </c>
      <c r="C39" s="17" t="s">
        <v>689</v>
      </c>
      <c r="D39" s="427">
        <f>SUM('[8]Division 091'!CH$124:CH$125)</f>
        <v>6664194.4000000004</v>
      </c>
      <c r="E39" s="427">
        <f>SUM('[8]Division 091'!CI$124:CI$125)</f>
        <v>6664194.4000000004</v>
      </c>
      <c r="F39" s="427">
        <f>SUM('[8]Division 091'!CJ$124:CJ$125)</f>
        <v>6664194.4000000004</v>
      </c>
      <c r="G39" s="427">
        <f>SUM('[8]Division 091'!CK$124:CK$125)</f>
        <v>6664194.4000000004</v>
      </c>
      <c r="H39" s="427">
        <f>SUM('[8]Division 091'!CL$124:CL$125)</f>
        <v>6664194.4000000004</v>
      </c>
      <c r="I39" s="427">
        <f>SUM('[8]Division 091'!CM$124:CM$125)</f>
        <v>6664194.4000000004</v>
      </c>
      <c r="J39" s="427">
        <f>SUM('[8]Division 091'!CN$124:CN$125)</f>
        <v>6664194.4000000004</v>
      </c>
      <c r="K39" s="427">
        <f>SUM('[8]Division 091'!CO$124:CO$125)</f>
        <v>6664194.4000000004</v>
      </c>
      <c r="L39" s="427">
        <f>SUM('[8]Division 091'!CP$124:CP$125)</f>
        <v>6664194.4000000004</v>
      </c>
      <c r="M39" s="427">
        <f>SUM('[8]Division 091'!CQ$124:CQ$125)</f>
        <v>6664194.4000000004</v>
      </c>
      <c r="N39" s="427">
        <f>SUM('[8]Division 091'!CR$124:CR$125)</f>
        <v>6664194.4000000004</v>
      </c>
      <c r="O39" s="427">
        <f>SUM('[8]Division 091'!CS$124:CS$125)</f>
        <v>6664194.4000000004</v>
      </c>
      <c r="P39" s="427">
        <f>SUM('[8]Division 091'!CT$124:CT$125)</f>
        <v>6664194.4000000004</v>
      </c>
      <c r="Q39" s="385">
        <f t="shared" si="1"/>
        <v>6664194.4000000004</v>
      </c>
    </row>
    <row r="40" spans="1:18">
      <c r="A40" s="805">
        <f t="shared" si="0"/>
        <v>28</v>
      </c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394"/>
    </row>
    <row r="41" spans="1:18">
      <c r="A41" s="805">
        <f t="shared" si="0"/>
        <v>29</v>
      </c>
      <c r="C41" s="17" t="s">
        <v>690</v>
      </c>
      <c r="D41" s="492">
        <f>SUM('[8]Division 091'!CH$126:CH$127)</f>
        <v>-5430986.3035458103</v>
      </c>
      <c r="E41" s="492">
        <f>SUM('[8]Division 091'!CI$126:CI$127)</f>
        <v>-5429683.6021432467</v>
      </c>
      <c r="F41" s="492">
        <f>SUM('[8]Division 091'!CJ$126:CJ$127)</f>
        <v>-5437505.9007406812</v>
      </c>
      <c r="G41" s="492">
        <f>SUM('[8]Division 091'!CK$126:CK$127)</f>
        <v>-5444835.7095460016</v>
      </c>
      <c r="H41" s="492">
        <f>SUM('[8]Division 091'!CL$126:CL$127)</f>
        <v>-5451370.2580770366</v>
      </c>
      <c r="I41" s="492">
        <f>SUM('[8]Division 091'!CM$126:CM$127)</f>
        <v>-5453644.0059706774</v>
      </c>
      <c r="J41" s="492">
        <f>SUM('[8]Division 091'!CN$126:CN$127)</f>
        <v>-5455618.5765098911</v>
      </c>
      <c r="K41" s="492">
        <f>SUM('[8]Division 091'!CO$126:CO$127)</f>
        <v>-5457283.9971161988</v>
      </c>
      <c r="L41" s="492">
        <f>SUM('[8]Division 091'!CP$126:CP$127)</f>
        <v>-5458608.1818086188</v>
      </c>
      <c r="M41" s="492">
        <f>SUM('[8]Division 091'!CQ$126:CQ$127)</f>
        <v>-5459659.7402408365</v>
      </c>
      <c r="N41" s="492">
        <f>SUM('[8]Division 091'!CR$126:CR$127)</f>
        <v>-5460349.3092255089</v>
      </c>
      <c r="O41" s="492">
        <f>SUM('[8]Division 091'!CS$126:CS$127)</f>
        <v>-5460770.2149693985</v>
      </c>
      <c r="P41" s="492">
        <f>SUM('[8]Division 091'!CT$126:CT$127)</f>
        <v>-5460913.5020311493</v>
      </c>
      <c r="Q41" s="394">
        <f t="shared" si="1"/>
        <v>-5450863.7924557738</v>
      </c>
    </row>
    <row r="42" spans="1:18">
      <c r="A42" s="805">
        <f t="shared" si="0"/>
        <v>30</v>
      </c>
      <c r="B42" s="2"/>
      <c r="C42" s="4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394"/>
    </row>
    <row r="43" spans="1:18">
      <c r="A43" s="805">
        <f t="shared" si="0"/>
        <v>31</v>
      </c>
      <c r="C43" s="17" t="s">
        <v>691</v>
      </c>
      <c r="D43" s="492">
        <f>SUM('[8]Division 091'!CH$128:CH$130)</f>
        <v>-1472160.1949999998</v>
      </c>
      <c r="E43" s="492">
        <f>SUM('[8]Division 091'!CI$128:CI$130)</f>
        <v>-1472160.1949999998</v>
      </c>
      <c r="F43" s="492">
        <f>SUM('[8]Division 091'!CJ$128:CJ$130)</f>
        <v>-1472160.1949999998</v>
      </c>
      <c r="G43" s="492">
        <f>SUM('[8]Division 091'!CK$128:CK$130)</f>
        <v>-1472160.1949999998</v>
      </c>
      <c r="H43" s="492">
        <f>SUM('[8]Division 091'!CL$128:CL$130)</f>
        <v>-1472160.1949999998</v>
      </c>
      <c r="I43" s="492">
        <f>SUM('[8]Division 091'!CM$128:CM$130)</f>
        <v>-1472160.1949999998</v>
      </c>
      <c r="J43" s="492">
        <f>SUM('[8]Division 091'!CN$128:CN$130)</f>
        <v>-1472160.1949999998</v>
      </c>
      <c r="K43" s="492">
        <f>SUM('[8]Division 091'!CO$128:CO$130)</f>
        <v>-1472160.1949999998</v>
      </c>
      <c r="L43" s="492">
        <f>SUM('[8]Division 091'!CP$128:CP$130)</f>
        <v>-1472160.1949999998</v>
      </c>
      <c r="M43" s="492">
        <f>SUM('[8]Division 091'!CQ$128:CQ$130)</f>
        <v>-1472160.1949999998</v>
      </c>
      <c r="N43" s="492">
        <f>SUM('[8]Division 091'!CR$128:CR$130)</f>
        <v>-1472160.1949999998</v>
      </c>
      <c r="O43" s="492">
        <f>SUM('[8]Division 091'!CS$128:CS$130)</f>
        <v>-1472160.1949999998</v>
      </c>
      <c r="P43" s="492">
        <f>SUM('[8]Division 091'!CT$128:CT$130)</f>
        <v>-1472160.1949999998</v>
      </c>
      <c r="Q43" s="394">
        <f>(SUM(D43:P43))/13</f>
        <v>-1472160.1950000001</v>
      </c>
    </row>
    <row r="44" spans="1:18">
      <c r="A44" s="805">
        <f t="shared" si="0"/>
        <v>32</v>
      </c>
      <c r="D44" s="492"/>
      <c r="E44" s="492"/>
      <c r="F44" s="492"/>
      <c r="G44" s="492"/>
      <c r="H44" s="492"/>
      <c r="I44" s="492"/>
      <c r="J44" s="492"/>
      <c r="K44" s="492"/>
      <c r="L44" s="492"/>
      <c r="M44" s="581"/>
      <c r="N44" s="581"/>
      <c r="O44" s="581"/>
      <c r="P44" s="581"/>
      <c r="Q44" s="394"/>
    </row>
    <row r="45" spans="1:18">
      <c r="A45" s="805">
        <f t="shared" si="0"/>
        <v>33</v>
      </c>
      <c r="C45" s="17" t="s">
        <v>453</v>
      </c>
      <c r="D45" s="492">
        <f>'WP B.5 B'!P45</f>
        <v>-11421</v>
      </c>
      <c r="E45" s="492">
        <f>D45</f>
        <v>-11421</v>
      </c>
      <c r="F45" s="492">
        <f t="shared" ref="F45:J45" si="5">E45</f>
        <v>-11421</v>
      </c>
      <c r="G45" s="492">
        <f t="shared" si="5"/>
        <v>-11421</v>
      </c>
      <c r="H45" s="492">
        <f t="shared" si="5"/>
        <v>-11421</v>
      </c>
      <c r="I45" s="492">
        <f t="shared" si="5"/>
        <v>-11421</v>
      </c>
      <c r="J45" s="492">
        <f t="shared" si="5"/>
        <v>-11421</v>
      </c>
      <c r="K45" s="492">
        <f t="shared" ref="K45:P45" si="6">J45</f>
        <v>-11421</v>
      </c>
      <c r="L45" s="492">
        <f t="shared" si="6"/>
        <v>-11421</v>
      </c>
      <c r="M45" s="492">
        <f t="shared" si="6"/>
        <v>-11421</v>
      </c>
      <c r="N45" s="492">
        <f t="shared" si="6"/>
        <v>-11421</v>
      </c>
      <c r="O45" s="492">
        <f t="shared" si="6"/>
        <v>-11421</v>
      </c>
      <c r="P45" s="492">
        <f t="shared" si="6"/>
        <v>-11421</v>
      </c>
      <c r="Q45" s="394">
        <f>(SUM(D45:P45))/13</f>
        <v>-11421</v>
      </c>
    </row>
    <row r="46" spans="1:18">
      <c r="A46" s="805">
        <f t="shared" si="0"/>
        <v>34</v>
      </c>
      <c r="B46" s="489"/>
      <c r="C46" s="4"/>
      <c r="D46" s="492"/>
      <c r="E46" s="494"/>
      <c r="F46" s="494"/>
      <c r="G46" s="492"/>
      <c r="H46" s="492"/>
      <c r="I46" s="496"/>
      <c r="J46" s="496"/>
      <c r="K46" s="496"/>
      <c r="L46" s="494"/>
      <c r="M46" s="394"/>
      <c r="N46" s="394"/>
      <c r="O46" s="394"/>
      <c r="P46" s="394"/>
      <c r="Q46" s="394"/>
    </row>
    <row r="47" spans="1:18">
      <c r="A47" s="805">
        <f t="shared" si="0"/>
        <v>35</v>
      </c>
      <c r="C47" s="26" t="s">
        <v>452</v>
      </c>
      <c r="D47" s="755">
        <f>SUM(D39:D45)</f>
        <v>-250373.09854580974</v>
      </c>
      <c r="E47" s="755">
        <f t="shared" ref="E47:P47" si="7">SUM(E39:E45)</f>
        <v>-249070.39714324614</v>
      </c>
      <c r="F47" s="755">
        <f t="shared" si="7"/>
        <v>-256892.69574068068</v>
      </c>
      <c r="G47" s="755">
        <f t="shared" si="7"/>
        <v>-264222.50454600109</v>
      </c>
      <c r="H47" s="755">
        <f t="shared" si="7"/>
        <v>-270757.05307703605</v>
      </c>
      <c r="I47" s="755">
        <f t="shared" si="7"/>
        <v>-273030.80097067682</v>
      </c>
      <c r="J47" s="755">
        <f t="shared" si="7"/>
        <v>-275005.37150989054</v>
      </c>
      <c r="K47" s="755">
        <f t="shared" si="7"/>
        <v>-276670.79211619822</v>
      </c>
      <c r="L47" s="755">
        <f t="shared" si="7"/>
        <v>-277994.97680861829</v>
      </c>
      <c r="M47" s="755">
        <f t="shared" si="7"/>
        <v>-279046.53524083598</v>
      </c>
      <c r="N47" s="755">
        <f t="shared" si="7"/>
        <v>-279736.1042255084</v>
      </c>
      <c r="O47" s="755">
        <f t="shared" si="7"/>
        <v>-280157.00996939791</v>
      </c>
      <c r="P47" s="755">
        <f t="shared" si="7"/>
        <v>-280300.2970311488</v>
      </c>
      <c r="Q47" s="385">
        <f>(SUM(D47:P47))/13</f>
        <v>-270250.58745577297</v>
      </c>
      <c r="R47" s="801"/>
    </row>
    <row r="48" spans="1:18">
      <c r="A48" s="805">
        <f t="shared" si="0"/>
        <v>36</v>
      </c>
      <c r="D48" s="495"/>
      <c r="E48" s="495"/>
      <c r="F48" s="495"/>
      <c r="G48" s="495"/>
      <c r="H48" s="496"/>
      <c r="I48" s="495"/>
      <c r="J48" s="495"/>
      <c r="K48" s="495"/>
      <c r="L48" s="495"/>
      <c r="M48" s="394"/>
      <c r="N48" s="394"/>
      <c r="O48" s="394"/>
      <c r="P48" s="394"/>
      <c r="Q48" s="394"/>
    </row>
    <row r="49" spans="1:17" ht="15.75" thickBot="1">
      <c r="A49" s="805">
        <f t="shared" si="0"/>
        <v>37</v>
      </c>
      <c r="B49" s="47"/>
      <c r="C49" s="1" t="s">
        <v>101</v>
      </c>
      <c r="D49" s="425">
        <f>D47+D36+D28+D19</f>
        <v>365223962.49221444</v>
      </c>
      <c r="E49" s="425">
        <f t="shared" ref="E49:P49" si="8">E47+E36+E28+E19</f>
        <v>358032210.04923487</v>
      </c>
      <c r="F49" s="425">
        <f t="shared" si="8"/>
        <v>357068558.36877924</v>
      </c>
      <c r="G49" s="425">
        <f t="shared" si="8"/>
        <v>356356087.96552652</v>
      </c>
      <c r="H49" s="425">
        <f t="shared" si="8"/>
        <v>355434302.33314711</v>
      </c>
      <c r="I49" s="425">
        <f t="shared" si="8"/>
        <v>354943073.41404271</v>
      </c>
      <c r="J49" s="425">
        <f t="shared" si="8"/>
        <v>354265973.13061011</v>
      </c>
      <c r="K49" s="425">
        <f t="shared" si="8"/>
        <v>353400301.7629807</v>
      </c>
      <c r="L49" s="425">
        <f t="shared" si="8"/>
        <v>352947577.49526834</v>
      </c>
      <c r="M49" s="425">
        <f t="shared" si="8"/>
        <v>352609812.11413842</v>
      </c>
      <c r="N49" s="425">
        <f t="shared" si="8"/>
        <v>352354196.46712637</v>
      </c>
      <c r="O49" s="425">
        <f t="shared" si="8"/>
        <v>352231688.54622221</v>
      </c>
      <c r="P49" s="425">
        <f t="shared" si="8"/>
        <v>352180238.71585524</v>
      </c>
      <c r="Q49" s="385">
        <f>(SUM(D49:P49))/13</f>
        <v>355157537.14270359</v>
      </c>
    </row>
    <row r="50" spans="1:17" ht="15.75" thickTop="1">
      <c r="A50" s="47"/>
      <c r="B50" s="47"/>
    </row>
    <row r="51" spans="1:17">
      <c r="A51" s="47"/>
      <c r="B51" s="47"/>
      <c r="C51" s="47" t="s">
        <v>701</v>
      </c>
    </row>
    <row r="52" spans="1:17">
      <c r="A52" s="47"/>
      <c r="B52" s="47"/>
      <c r="C52" s="47" t="s">
        <v>1560</v>
      </c>
      <c r="D52" s="771"/>
    </row>
    <row r="53" spans="1:17">
      <c r="A53" s="47"/>
      <c r="B53" s="47"/>
    </row>
    <row r="58" spans="1:17">
      <c r="D58" s="68"/>
    </row>
    <row r="59" spans="1:17">
      <c r="C59" s="119"/>
      <c r="D59" s="68"/>
    </row>
    <row r="60" spans="1:17">
      <c r="C60" s="119"/>
      <c r="D60" s="1078"/>
      <c r="H60" s="1079"/>
    </row>
    <row r="61" spans="1:17">
      <c r="D61" s="1105"/>
    </row>
    <row r="62" spans="1:17">
      <c r="C62" s="119"/>
      <c r="E62" s="119"/>
    </row>
    <row r="65" spans="3:4">
      <c r="C65" s="1058"/>
    </row>
    <row r="66" spans="3:4">
      <c r="C66" s="1058"/>
    </row>
    <row r="67" spans="3:4">
      <c r="C67" s="1058"/>
    </row>
    <row r="68" spans="3:4">
      <c r="C68" s="1058"/>
      <c r="D68" s="208"/>
    </row>
    <row r="69" spans="3:4">
      <c r="C69" s="1058"/>
    </row>
    <row r="70" spans="3:4">
      <c r="C70" s="1058"/>
      <c r="D70" s="1078"/>
    </row>
    <row r="71" spans="3:4">
      <c r="C71" s="1058"/>
    </row>
    <row r="72" spans="3:4">
      <c r="C72" s="1058"/>
      <c r="D72" s="208"/>
    </row>
    <row r="73" spans="3:4">
      <c r="C73" s="1058"/>
    </row>
    <row r="74" spans="3:4">
      <c r="C74" s="1058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38" right="0.34" top="0.84" bottom="1" header="0.5" footer="0.5"/>
  <pageSetup scale="45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9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9">
      <c r="A3" s="1246" t="s">
        <v>1252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9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9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9">
      <c r="A6" s="70" t="str">
        <f>'B.1 B'!A6</f>
        <v>Data:__X___Base Period______Forecasted Period</v>
      </c>
      <c r="B6" s="70"/>
      <c r="C6" s="47"/>
      <c r="P6" s="1" t="s">
        <v>1519</v>
      </c>
    </row>
    <row r="7" spans="1:19">
      <c r="A7" s="70" t="str">
        <f>'B.1 B'!A7</f>
        <v>Type of Filing:___X____Original________Updated ________Revised</v>
      </c>
      <c r="B7" s="47"/>
      <c r="C7" s="70"/>
      <c r="P7" s="1" t="s">
        <v>823</v>
      </c>
    </row>
    <row r="8" spans="1:19">
      <c r="A8" s="73" t="str">
        <f>'B.1 B'!A8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9">
      <c r="D9" s="77"/>
      <c r="E9" s="299"/>
      <c r="F9" s="2"/>
      <c r="G9" s="2"/>
      <c r="H9" s="101"/>
      <c r="I9" s="2"/>
      <c r="J9" s="299"/>
      <c r="K9" s="2"/>
    </row>
    <row r="10" spans="1:19">
      <c r="A10" s="2" t="s">
        <v>98</v>
      </c>
      <c r="B10" s="2" t="s">
        <v>99</v>
      </c>
      <c r="D10" s="76" t="s">
        <v>112</v>
      </c>
      <c r="E10" s="76" t="s">
        <v>112</v>
      </c>
      <c r="F10" s="76" t="s">
        <v>112</v>
      </c>
      <c r="G10" s="76" t="s">
        <v>112</v>
      </c>
      <c r="H10" s="76" t="s">
        <v>112</v>
      </c>
      <c r="I10" s="76" t="s">
        <v>112</v>
      </c>
      <c r="J10" s="76" t="s">
        <v>112</v>
      </c>
      <c r="K10" s="802" t="s">
        <v>467</v>
      </c>
      <c r="L10" s="76" t="s">
        <v>467</v>
      </c>
      <c r="M10" s="76" t="s">
        <v>467</v>
      </c>
      <c r="N10" s="76" t="s">
        <v>467</v>
      </c>
      <c r="O10" s="76" t="s">
        <v>467</v>
      </c>
      <c r="P10" s="76" t="s">
        <v>467</v>
      </c>
      <c r="Q10" s="126" t="s">
        <v>324</v>
      </c>
    </row>
    <row r="11" spans="1:19">
      <c r="A11" s="9" t="s">
        <v>104</v>
      </c>
      <c r="B11" s="9" t="s">
        <v>105</v>
      </c>
      <c r="C11" s="6"/>
      <c r="D11" s="450">
        <f>'WP B.4.1B'!C8</f>
        <v>42063</v>
      </c>
      <c r="E11" s="450">
        <f>'WP B.4.1B'!D8</f>
        <v>42094</v>
      </c>
      <c r="F11" s="450">
        <f>'WP B.4.1B'!E8</f>
        <v>42095</v>
      </c>
      <c r="G11" s="450">
        <f>'WP B.4.1B'!F8</f>
        <v>42155</v>
      </c>
      <c r="H11" s="450">
        <f>'WP B.4.1B'!G8</f>
        <v>42185</v>
      </c>
      <c r="I11" s="450">
        <f>'WP B.4.1B'!H8</f>
        <v>42216</v>
      </c>
      <c r="J11" s="450">
        <f>'WP B.4.1B'!I8</f>
        <v>42247</v>
      </c>
      <c r="K11" s="450">
        <f>'WP B.4.1B'!J8</f>
        <v>42277</v>
      </c>
      <c r="L11" s="450">
        <f>'WP B.4.1B'!K8</f>
        <v>42308</v>
      </c>
      <c r="M11" s="450">
        <f>'WP B.4.1B'!L8</f>
        <v>42338</v>
      </c>
      <c r="N11" s="450">
        <f>'WP B.4.1B'!M8</f>
        <v>42369</v>
      </c>
      <c r="O11" s="450">
        <f>'WP B.4.1B'!N8</f>
        <v>42400</v>
      </c>
      <c r="P11" s="450">
        <f>'WP B.4.1B'!O8</f>
        <v>42429</v>
      </c>
      <c r="Q11" s="80" t="s">
        <v>103</v>
      </c>
    </row>
    <row r="12" spans="1:19" ht="15.75">
      <c r="B12" s="12" t="s">
        <v>218</v>
      </c>
      <c r="G12" s="107"/>
    </row>
    <row r="13" spans="1:19">
      <c r="A13" s="2">
        <v>1</v>
      </c>
      <c r="B13" s="487"/>
      <c r="C13" s="4" t="s">
        <v>53</v>
      </c>
      <c r="D13" s="492">
        <f>-'[9]Div 09'!J$13</f>
        <v>-1771289.33</v>
      </c>
      <c r="E13" s="492">
        <f>-'[9]Div 09'!K$13</f>
        <v>-1768242.33</v>
      </c>
      <c r="F13" s="492">
        <f>-'[9]Div 09'!L$13</f>
        <v>-1767849.33</v>
      </c>
      <c r="G13" s="492">
        <f>-'[9]Div 09'!M$13</f>
        <v>-1767849.33</v>
      </c>
      <c r="H13" s="492">
        <f>-'[9]Div 09'!N$13</f>
        <v>-1768529.94</v>
      </c>
      <c r="I13" s="492">
        <f>-'[9]Div 09'!O$13</f>
        <v>-1766691.94</v>
      </c>
      <c r="J13" s="492">
        <f>-'[9]Div 09'!P$13</f>
        <v>-1766691.94</v>
      </c>
      <c r="K13" s="492">
        <f>-'[9]Div 09'!Q$13</f>
        <v>-1767642.468333333</v>
      </c>
      <c r="L13" s="492">
        <f>-'[9]Div 09'!R$13</f>
        <v>-1767642.4683333333</v>
      </c>
      <c r="M13" s="492">
        <f>-'[9]Div 09'!S$13</f>
        <v>-1767642.4683333333</v>
      </c>
      <c r="N13" s="492">
        <f>-'[9]Div 09'!T$13</f>
        <v>-1767642.4683333333</v>
      </c>
      <c r="O13" s="492">
        <f>-'[9]Div 09'!U$13</f>
        <v>-1767642.4683333333</v>
      </c>
      <c r="P13" s="492">
        <f>-'[9]Div 09'!V$13</f>
        <v>-1767642.4683333335</v>
      </c>
      <c r="Q13" s="394">
        <f>SUM(D13:P13)/13</f>
        <v>-1767922.9961538462</v>
      </c>
      <c r="S13" s="1060"/>
    </row>
    <row r="14" spans="1:19">
      <c r="A14" s="77">
        <v>2</v>
      </c>
      <c r="B14" s="488"/>
      <c r="D14" s="103"/>
      <c r="E14" s="63"/>
      <c r="F14" s="63"/>
      <c r="G14" s="103"/>
      <c r="H14" s="103"/>
      <c r="I14" s="63"/>
      <c r="J14" s="63"/>
      <c r="K14" s="63"/>
      <c r="L14" s="63"/>
      <c r="P14" s="394"/>
    </row>
    <row r="15" spans="1:19" ht="15.75">
      <c r="A15" s="2">
        <v>3</v>
      </c>
      <c r="B15" s="12" t="s">
        <v>219</v>
      </c>
      <c r="D15" s="47"/>
      <c r="E15" s="47"/>
      <c r="F15" s="47"/>
      <c r="G15" s="100"/>
      <c r="I15" s="47"/>
      <c r="J15" s="47"/>
      <c r="K15" s="47"/>
      <c r="L15" s="495"/>
      <c r="M15" s="394"/>
      <c r="N15" s="394"/>
      <c r="O15" s="394"/>
      <c r="P15" s="394"/>
    </row>
    <row r="16" spans="1:19">
      <c r="A16" s="77">
        <v>4</v>
      </c>
      <c r="B16" s="487">
        <v>15560</v>
      </c>
      <c r="C16" s="4" t="s">
        <v>53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3">
        <v>0</v>
      </c>
      <c r="O16" s="493">
        <v>0</v>
      </c>
      <c r="P16" s="492">
        <v>0</v>
      </c>
      <c r="Q16" s="394">
        <f>(SUM(D16:P16))/13</f>
        <v>0</v>
      </c>
    </row>
    <row r="17" spans="1:17">
      <c r="A17" s="2">
        <v>5</v>
      </c>
      <c r="B17" s="489"/>
      <c r="C17" s="4"/>
      <c r="D17" s="103"/>
      <c r="E17" s="63"/>
      <c r="F17" s="63"/>
      <c r="G17" s="103"/>
      <c r="H17" s="103"/>
      <c r="I17" s="100"/>
      <c r="J17" s="100"/>
      <c r="K17" s="100"/>
      <c r="L17" s="494"/>
      <c r="M17" s="394"/>
      <c r="N17" s="394"/>
      <c r="O17" s="394"/>
      <c r="P17" s="394"/>
    </row>
    <row r="18" spans="1:17" ht="15.75">
      <c r="A18" s="77">
        <v>6</v>
      </c>
      <c r="B18" s="12" t="s">
        <v>1137</v>
      </c>
      <c r="C18" s="26"/>
      <c r="D18" s="490"/>
      <c r="E18" s="231"/>
      <c r="F18" s="231"/>
      <c r="G18" s="102"/>
      <c r="H18" s="102"/>
      <c r="I18" s="102"/>
      <c r="J18" s="102"/>
      <c r="K18" s="102"/>
      <c r="L18" s="494"/>
      <c r="M18" s="394"/>
      <c r="N18" s="394"/>
      <c r="O18" s="394"/>
      <c r="P18" s="394"/>
    </row>
    <row r="19" spans="1:17">
      <c r="A19" s="2">
        <v>7</v>
      </c>
      <c r="B19" s="487">
        <v>15560</v>
      </c>
      <c r="C19" s="4" t="s">
        <v>53</v>
      </c>
      <c r="D19" s="497">
        <v>0</v>
      </c>
      <c r="E19" s="497">
        <v>0</v>
      </c>
      <c r="F19" s="497">
        <v>0</v>
      </c>
      <c r="G19" s="497">
        <v>0</v>
      </c>
      <c r="H19" s="497">
        <v>0</v>
      </c>
      <c r="I19" s="497">
        <v>0</v>
      </c>
      <c r="J19" s="497">
        <v>0</v>
      </c>
      <c r="K19" s="497">
        <v>0</v>
      </c>
      <c r="L19" s="497">
        <v>0</v>
      </c>
      <c r="M19" s="497">
        <v>0</v>
      </c>
      <c r="N19" s="497">
        <v>0</v>
      </c>
      <c r="O19" s="497">
        <v>0</v>
      </c>
      <c r="P19" s="497">
        <v>0</v>
      </c>
      <c r="Q19" s="394">
        <f>(SUM(D19:P19))/13</f>
        <v>0</v>
      </c>
    </row>
    <row r="20" spans="1:17">
      <c r="A20" s="77">
        <v>8</v>
      </c>
      <c r="B20" s="489"/>
      <c r="C20" s="4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</row>
    <row r="21" spans="1:17" ht="15.75">
      <c r="A21" s="2">
        <v>9</v>
      </c>
      <c r="B21" s="12" t="s">
        <v>692</v>
      </c>
      <c r="D21" s="47"/>
      <c r="E21" s="47"/>
      <c r="F21" s="47"/>
      <c r="G21" s="100"/>
      <c r="I21" s="47"/>
      <c r="J21" s="47"/>
      <c r="K21" s="47"/>
      <c r="L21" s="495"/>
      <c r="M21" s="394"/>
      <c r="N21" s="394"/>
      <c r="O21" s="394"/>
      <c r="P21" s="394"/>
    </row>
    <row r="22" spans="1:17">
      <c r="A22" s="77">
        <v>10</v>
      </c>
      <c r="B22" s="487">
        <v>15560</v>
      </c>
      <c r="C22" s="4" t="s">
        <v>53</v>
      </c>
      <c r="D22" s="497">
        <f>'[9]Div 91'!J$13</f>
        <v>0</v>
      </c>
      <c r="E22" s="497">
        <f>'[9]Div 91'!K$13</f>
        <v>0</v>
      </c>
      <c r="F22" s="497">
        <f>'[9]Div 91'!L$13</f>
        <v>0</v>
      </c>
      <c r="G22" s="497">
        <f>'[9]Div 91'!M$13</f>
        <v>0</v>
      </c>
      <c r="H22" s="497">
        <f>'[9]Div 91'!N$13</f>
        <v>0</v>
      </c>
      <c r="I22" s="497">
        <f>'[9]Div 91'!O$13</f>
        <v>0</v>
      </c>
      <c r="J22" s="497">
        <f>'[9]Div 91'!P$13</f>
        <v>0</v>
      </c>
      <c r="K22" s="497">
        <f>'[9]Div 91'!Q$13</f>
        <v>0</v>
      </c>
      <c r="L22" s="497">
        <f>'[9]Div 91'!R$13</f>
        <v>0</v>
      </c>
      <c r="M22" s="497">
        <f>'[9]Div 91'!S$13</f>
        <v>0</v>
      </c>
      <c r="N22" s="497">
        <f>'[9]Div 91'!T$13</f>
        <v>0</v>
      </c>
      <c r="O22" s="497">
        <f>'[9]Div 91'!U$13</f>
        <v>0</v>
      </c>
      <c r="P22" s="497">
        <f>'[9]Div 91'!V$13</f>
        <v>0</v>
      </c>
      <c r="Q22" s="394">
        <f>(SUM(D22:P22))/13</f>
        <v>0</v>
      </c>
    </row>
    <row r="23" spans="1:17">
      <c r="A23" s="2"/>
      <c r="B23" s="488"/>
      <c r="D23" s="103"/>
      <c r="E23" s="63"/>
      <c r="F23" s="63"/>
      <c r="G23" s="103"/>
      <c r="H23" s="103"/>
      <c r="I23" s="103"/>
      <c r="J23" s="103"/>
      <c r="K23" s="103"/>
      <c r="L23" s="494"/>
      <c r="M23" s="394"/>
      <c r="N23" s="394"/>
      <c r="O23" s="394"/>
      <c r="P23" s="394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4"/>
      <c r="M24" s="394"/>
      <c r="N24" s="394"/>
      <c r="O24" s="394"/>
      <c r="P24" s="394"/>
    </row>
    <row r="25" spans="1:17">
      <c r="A25" s="47"/>
      <c r="B25" s="47"/>
      <c r="P25" s="394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  <row r="42" spans="1:2">
      <c r="A42" s="47"/>
      <c r="B42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80" zoomScaleNormal="80" zoomScaleSheetLayoutView="80" workbookViewId="0">
      <pane xSplit="3" ySplit="11" topLeftCell="D12" activePane="bottomRight" state="frozen"/>
      <selection activeCell="F59" sqref="F59"/>
      <selection pane="topRight" activeCell="F59" sqref="F59"/>
      <selection pane="bottomLeft" activeCell="F59" sqref="F59"/>
      <selection pane="bottomRight" activeCell="F59" sqref="F59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100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246" t="str">
        <f>Allocation!A1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</row>
    <row r="2" spans="1:17">
      <c r="A2" s="1246" t="str">
        <f>Allocation!A2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  <c r="O2" s="1246"/>
      <c r="P2" s="1246"/>
      <c r="Q2" s="1246"/>
    </row>
    <row r="3" spans="1:17">
      <c r="A3" s="1246" t="s">
        <v>1252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</row>
    <row r="4" spans="1:17">
      <c r="A4" s="1246" t="str">
        <f>Allocation!A3</f>
        <v>Base Period: Twelve Months Ended February 29, 2016</v>
      </c>
      <c r="B4" s="1246"/>
      <c r="C4" s="1246"/>
      <c r="D4" s="1246"/>
      <c r="E4" s="1246"/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</row>
    <row r="5" spans="1:17">
      <c r="A5" s="43"/>
      <c r="B5" s="40"/>
      <c r="C5" s="40"/>
      <c r="D5" s="40"/>
      <c r="E5" s="40"/>
      <c r="F5" s="40"/>
      <c r="G5" s="40"/>
      <c r="H5" s="486"/>
      <c r="I5" s="40"/>
      <c r="J5" s="40"/>
      <c r="K5" s="40"/>
    </row>
    <row r="6" spans="1:17">
      <c r="A6" s="70" t="str">
        <f>'B.1 F '!A6</f>
        <v>Data:______Base Period__X___Forecasted Period</v>
      </c>
      <c r="B6" s="70"/>
      <c r="C6" s="47"/>
      <c r="P6" s="1" t="s">
        <v>1518</v>
      </c>
    </row>
    <row r="7" spans="1:17">
      <c r="A7" s="70" t="str">
        <f>'B.1 F '!A7</f>
        <v>Type of Filing:___X____Original________Updated ________Revised</v>
      </c>
      <c r="B7" s="47"/>
      <c r="C7" s="70"/>
      <c r="P7" s="1" t="s">
        <v>1188</v>
      </c>
    </row>
    <row r="8" spans="1:17">
      <c r="A8" s="73" t="str">
        <f>'B.1 F '!A8</f>
        <v>Workpaper Reference No(s).</v>
      </c>
      <c r="B8" s="6"/>
      <c r="C8" s="6"/>
      <c r="D8" s="6"/>
      <c r="E8" s="6"/>
      <c r="F8" s="6"/>
      <c r="G8" s="45"/>
      <c r="H8" s="108"/>
      <c r="I8" s="6"/>
      <c r="J8" s="6"/>
      <c r="K8" s="45"/>
      <c r="L8" s="6"/>
      <c r="M8" s="45"/>
      <c r="N8" s="45"/>
      <c r="O8" s="45"/>
      <c r="P8" s="45"/>
      <c r="Q8" s="45"/>
    </row>
    <row r="9" spans="1:17">
      <c r="D9" s="77"/>
      <c r="E9" s="299"/>
      <c r="F9" s="2"/>
      <c r="G9" s="2"/>
      <c r="H9" s="101"/>
      <c r="I9" s="2"/>
      <c r="J9" s="299"/>
      <c r="K9" s="2"/>
    </row>
    <row r="10" spans="1:17">
      <c r="A10" s="2" t="s">
        <v>98</v>
      </c>
      <c r="B10" s="2" t="s">
        <v>99</v>
      </c>
      <c r="D10" s="76" t="s">
        <v>467</v>
      </c>
      <c r="E10" s="1048" t="s">
        <v>467</v>
      </c>
      <c r="F10" s="1048" t="s">
        <v>467</v>
      </c>
      <c r="G10" s="1048" t="s">
        <v>467</v>
      </c>
      <c r="H10" s="1048" t="s">
        <v>467</v>
      </c>
      <c r="I10" s="802" t="s">
        <v>44</v>
      </c>
      <c r="J10" s="802" t="s">
        <v>44</v>
      </c>
      <c r="K10" s="802" t="s">
        <v>44</v>
      </c>
      <c r="L10" s="802" t="s">
        <v>44</v>
      </c>
      <c r="M10" s="802" t="s">
        <v>44</v>
      </c>
      <c r="N10" s="802" t="s">
        <v>44</v>
      </c>
      <c r="O10" s="802" t="s">
        <v>44</v>
      </c>
      <c r="P10" s="802" t="s">
        <v>44</v>
      </c>
      <c r="Q10" s="126" t="s">
        <v>324</v>
      </c>
    </row>
    <row r="11" spans="1:17">
      <c r="A11" s="9" t="s">
        <v>104</v>
      </c>
      <c r="B11" s="9" t="s">
        <v>105</v>
      </c>
      <c r="C11" s="6"/>
      <c r="D11" s="450">
        <f>'WP B.4.1F'!C8</f>
        <v>42520</v>
      </c>
      <c r="E11" s="450">
        <f>'WP B.4.1F'!D8</f>
        <v>42551</v>
      </c>
      <c r="F11" s="450">
        <f>'WP B.4.1F'!E8</f>
        <v>42582</v>
      </c>
      <c r="G11" s="450">
        <f>'WP B.4.1F'!F8</f>
        <v>42613</v>
      </c>
      <c r="H11" s="450">
        <f>'WP B.4.1F'!G8</f>
        <v>42643</v>
      </c>
      <c r="I11" s="450">
        <f>'WP B.4.1F'!H8</f>
        <v>42674</v>
      </c>
      <c r="J11" s="450">
        <f>'WP B.4.1F'!I8</f>
        <v>42704</v>
      </c>
      <c r="K11" s="450">
        <f>'WP B.4.1F'!J8</f>
        <v>42735</v>
      </c>
      <c r="L11" s="450">
        <f>'WP B.4.1F'!K8</f>
        <v>42766</v>
      </c>
      <c r="M11" s="450">
        <f>'WP B.4.1F'!L8</f>
        <v>42794</v>
      </c>
      <c r="N11" s="450">
        <f>'WP B.4.1F'!M8</f>
        <v>42825</v>
      </c>
      <c r="O11" s="450">
        <f>'WP B.4.1F'!N8</f>
        <v>42855</v>
      </c>
      <c r="P11" s="450">
        <f>'WP B.4.1F'!O8</f>
        <v>42886</v>
      </c>
      <c r="Q11" s="80" t="s">
        <v>103</v>
      </c>
    </row>
    <row r="12" spans="1:17" ht="15.75">
      <c r="B12" s="12" t="s">
        <v>218</v>
      </c>
      <c r="G12" s="107"/>
    </row>
    <row r="13" spans="1:17">
      <c r="A13" s="2">
        <v>1</v>
      </c>
      <c r="B13" s="487"/>
      <c r="C13" s="4" t="s">
        <v>53</v>
      </c>
      <c r="D13" s="492">
        <f>-'[9]Div 09'!Y$13</f>
        <v>-1767642.4683333335</v>
      </c>
      <c r="E13" s="492">
        <f>-'[9]Div 09'!Z$13</f>
        <v>-1767642.4683333335</v>
      </c>
      <c r="F13" s="492">
        <f>-'[9]Div 09'!AA$13</f>
        <v>-1767642.4683333335</v>
      </c>
      <c r="G13" s="492">
        <f>-'[9]Div 09'!AB$13</f>
        <v>-1767642.4683333335</v>
      </c>
      <c r="H13" s="492">
        <f>-'[9]Div 09'!AC$13</f>
        <v>-1767642.4683333335</v>
      </c>
      <c r="I13" s="492">
        <f>-'[9]Div 09'!AD$13</f>
        <v>-1767642.4683333333</v>
      </c>
      <c r="J13" s="492">
        <f>-'[9]Div 09'!AE$13</f>
        <v>-1767642.4683333333</v>
      </c>
      <c r="K13" s="492">
        <f>-'[9]Div 09'!AF$13</f>
        <v>-1767642.4683333333</v>
      </c>
      <c r="L13" s="492">
        <f>-'[9]Div 09'!AG$13</f>
        <v>-1767642.4683333335</v>
      </c>
      <c r="M13" s="492">
        <f>-'[9]Div 09'!AH$13</f>
        <v>-1767642.4683333335</v>
      </c>
      <c r="N13" s="492">
        <f>-'[9]Div 09'!AI$13</f>
        <v>-1767642.4683333335</v>
      </c>
      <c r="O13" s="492">
        <f>-'[9]Div 09'!AJ$13</f>
        <v>-1767642.4683333335</v>
      </c>
      <c r="P13" s="492">
        <f>-'[9]Div 09'!AK$13</f>
        <v>-1767642.4683333335</v>
      </c>
      <c r="Q13" s="1">
        <f>SUM(D13:P13)/13</f>
        <v>-1767642.4683333335</v>
      </c>
    </row>
    <row r="14" spans="1:17">
      <c r="A14" s="77">
        <v>2</v>
      </c>
      <c r="B14" s="488"/>
      <c r="D14" s="103"/>
      <c r="E14" s="103"/>
      <c r="F14" s="103"/>
      <c r="G14" s="103"/>
      <c r="H14" s="103"/>
      <c r="I14" s="103"/>
      <c r="J14" s="103"/>
      <c r="K14" s="103"/>
      <c r="L14" s="103"/>
      <c r="M14" s="107"/>
      <c r="N14" s="107"/>
      <c r="O14" s="107"/>
      <c r="P14" s="581"/>
    </row>
    <row r="15" spans="1:17" ht="15.75">
      <c r="A15" s="2">
        <v>3</v>
      </c>
      <c r="B15" s="12" t="s">
        <v>219</v>
      </c>
      <c r="D15" s="100"/>
      <c r="E15" s="100"/>
      <c r="F15" s="100"/>
      <c r="G15" s="100"/>
      <c r="I15" s="100"/>
      <c r="J15" s="100"/>
      <c r="K15" s="100"/>
      <c r="L15" s="496"/>
      <c r="M15" s="581"/>
      <c r="N15" s="581"/>
      <c r="O15" s="581"/>
      <c r="P15" s="581"/>
    </row>
    <row r="16" spans="1:17">
      <c r="A16" s="77">
        <v>4</v>
      </c>
      <c r="B16" s="487">
        <v>15560</v>
      </c>
      <c r="C16" s="4" t="s">
        <v>53</v>
      </c>
      <c r="D16" s="492">
        <v>0</v>
      </c>
      <c r="E16" s="492"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0</v>
      </c>
      <c r="K16" s="492">
        <v>0</v>
      </c>
      <c r="L16" s="492">
        <v>0</v>
      </c>
      <c r="M16" s="492">
        <v>0</v>
      </c>
      <c r="N16" s="492">
        <v>0</v>
      </c>
      <c r="O16" s="492">
        <v>0</v>
      </c>
      <c r="P16" s="492">
        <v>0</v>
      </c>
      <c r="Q16" s="1">
        <f>SUM(D16:P16)/13</f>
        <v>0</v>
      </c>
    </row>
    <row r="17" spans="1:17">
      <c r="A17" s="2">
        <v>5</v>
      </c>
      <c r="B17" s="489"/>
      <c r="C17" s="4"/>
      <c r="D17" s="103"/>
      <c r="E17" s="103"/>
      <c r="F17" s="103"/>
      <c r="G17" s="103"/>
      <c r="H17" s="103"/>
      <c r="I17" s="100"/>
      <c r="J17" s="100"/>
      <c r="K17" s="100"/>
      <c r="L17" s="492"/>
      <c r="M17" s="581"/>
      <c r="N17" s="581"/>
      <c r="O17" s="581"/>
      <c r="P17" s="581"/>
    </row>
    <row r="18" spans="1:17" ht="15.75">
      <c r="A18" s="77">
        <v>6</v>
      </c>
      <c r="B18" s="12" t="s">
        <v>1137</v>
      </c>
      <c r="C18" s="26"/>
      <c r="D18" s="490"/>
      <c r="E18" s="490"/>
      <c r="F18" s="490"/>
      <c r="G18" s="102"/>
      <c r="H18" s="102"/>
      <c r="I18" s="102"/>
      <c r="J18" s="102"/>
      <c r="K18" s="102"/>
      <c r="L18" s="492"/>
      <c r="M18" s="581"/>
      <c r="N18" s="581"/>
      <c r="O18" s="581"/>
      <c r="P18" s="581"/>
    </row>
    <row r="19" spans="1:17">
      <c r="A19" s="2">
        <v>7</v>
      </c>
      <c r="B19" s="487">
        <v>15560</v>
      </c>
      <c r="C19" s="4" t="s">
        <v>53</v>
      </c>
      <c r="D19" s="497">
        <v>0</v>
      </c>
      <c r="E19" s="497">
        <v>0</v>
      </c>
      <c r="F19" s="497">
        <v>0</v>
      </c>
      <c r="G19" s="497">
        <v>0</v>
      </c>
      <c r="H19" s="497">
        <v>0</v>
      </c>
      <c r="I19" s="497">
        <v>0</v>
      </c>
      <c r="J19" s="497">
        <v>0</v>
      </c>
      <c r="K19" s="497">
        <v>0</v>
      </c>
      <c r="L19" s="497">
        <v>0</v>
      </c>
      <c r="M19" s="497">
        <v>0</v>
      </c>
      <c r="N19" s="497">
        <v>0</v>
      </c>
      <c r="O19" s="497">
        <v>0</v>
      </c>
      <c r="P19" s="497">
        <v>0</v>
      </c>
      <c r="Q19" s="1">
        <f>SUM(D19:P19)/13</f>
        <v>0</v>
      </c>
    </row>
    <row r="20" spans="1:17">
      <c r="A20" s="77">
        <v>8</v>
      </c>
      <c r="B20" s="489"/>
      <c r="C20" s="4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</row>
    <row r="21" spans="1:17" ht="15.75">
      <c r="A21" s="2">
        <v>9</v>
      </c>
      <c r="B21" s="12" t="s">
        <v>692</v>
      </c>
      <c r="D21" s="100"/>
      <c r="E21" s="100"/>
      <c r="F21" s="100"/>
      <c r="G21" s="100"/>
      <c r="I21" s="100"/>
      <c r="J21" s="100"/>
      <c r="K21" s="100"/>
      <c r="L21" s="496"/>
      <c r="M21" s="581"/>
      <c r="N21" s="581"/>
      <c r="O21" s="581"/>
      <c r="P21" s="581"/>
    </row>
    <row r="22" spans="1:17">
      <c r="A22" s="77">
        <v>10</v>
      </c>
      <c r="B22" s="487">
        <v>15560</v>
      </c>
      <c r="C22" s="4" t="s">
        <v>53</v>
      </c>
      <c r="D22" s="492">
        <v>0</v>
      </c>
      <c r="E22" s="492">
        <v>0</v>
      </c>
      <c r="F22" s="492">
        <v>0</v>
      </c>
      <c r="G22" s="492">
        <v>0</v>
      </c>
      <c r="H22" s="492">
        <v>0</v>
      </c>
      <c r="I22" s="492">
        <v>0</v>
      </c>
      <c r="J22" s="492">
        <v>0</v>
      </c>
      <c r="K22" s="492">
        <v>0</v>
      </c>
      <c r="L22" s="492">
        <v>0</v>
      </c>
      <c r="M22" s="492">
        <v>0</v>
      </c>
      <c r="N22" s="492">
        <v>0</v>
      </c>
      <c r="O22" s="492">
        <v>0</v>
      </c>
      <c r="P22" s="492">
        <v>0</v>
      </c>
      <c r="Q22" s="1">
        <f>SUM(D22:P22)/13</f>
        <v>0</v>
      </c>
    </row>
    <row r="23" spans="1:17">
      <c r="A23" s="2"/>
      <c r="B23" s="488"/>
      <c r="D23" s="103"/>
      <c r="E23" s="63"/>
      <c r="F23" s="63"/>
      <c r="G23" s="103"/>
      <c r="H23" s="103"/>
      <c r="I23" s="103"/>
      <c r="J23" s="103"/>
      <c r="K23" s="103"/>
      <c r="L23" s="494"/>
      <c r="M23" s="394"/>
      <c r="N23" s="394"/>
      <c r="O23" s="394"/>
      <c r="P23" s="394"/>
    </row>
    <row r="24" spans="1:17">
      <c r="A24" s="2"/>
      <c r="D24" s="103"/>
      <c r="E24" s="63"/>
      <c r="F24" s="63"/>
      <c r="G24" s="103"/>
      <c r="H24" s="103"/>
      <c r="I24" s="103"/>
      <c r="J24" s="103"/>
      <c r="K24" s="103"/>
      <c r="L24" s="494"/>
      <c r="M24" s="394"/>
      <c r="N24" s="394"/>
      <c r="O24" s="394"/>
      <c r="P24" s="394"/>
    </row>
    <row r="25" spans="1:17">
      <c r="A25" s="47"/>
      <c r="B25" s="47"/>
    </row>
    <row r="26" spans="1:17">
      <c r="A26" s="47"/>
      <c r="B26" s="47"/>
    </row>
    <row r="27" spans="1:17">
      <c r="A27" s="47"/>
      <c r="B27" s="47"/>
    </row>
    <row r="28" spans="1:17">
      <c r="A28" s="47"/>
      <c r="B28" s="47"/>
    </row>
    <row r="29" spans="1:17">
      <c r="A29" s="47"/>
      <c r="B29" s="47"/>
    </row>
    <row r="30" spans="1:17">
      <c r="A30" s="47"/>
      <c r="B30" s="47"/>
    </row>
    <row r="31" spans="1:17">
      <c r="A31" s="47"/>
      <c r="B31" s="47"/>
    </row>
    <row r="32" spans="1:17">
      <c r="A32" s="47"/>
      <c r="B32" s="47"/>
    </row>
    <row r="33" spans="1:2">
      <c r="A33" s="47"/>
      <c r="B33" s="47"/>
    </row>
    <row r="34" spans="1:2">
      <c r="A34" s="47"/>
      <c r="B34" s="47"/>
    </row>
    <row r="35" spans="1:2">
      <c r="A35" s="47"/>
      <c r="B35" s="47"/>
    </row>
    <row r="36" spans="1:2">
      <c r="A36" s="47"/>
      <c r="B36" s="47"/>
    </row>
    <row r="37" spans="1:2">
      <c r="A37" s="47"/>
      <c r="B37" s="47"/>
    </row>
    <row r="38" spans="1:2">
      <c r="A38" s="47"/>
      <c r="B38" s="47"/>
    </row>
    <row r="39" spans="1:2">
      <c r="A39" s="47"/>
      <c r="B39" s="47"/>
    </row>
    <row r="40" spans="1:2">
      <c r="A40" s="47"/>
      <c r="B40" s="47"/>
    </row>
    <row r="41" spans="1:2">
      <c r="A41" s="47"/>
      <c r="B41" s="47"/>
    </row>
  </sheetData>
  <mergeCells count="4">
    <mergeCell ref="A1:Q1"/>
    <mergeCell ref="A2:Q2"/>
    <mergeCell ref="A3:Q3"/>
    <mergeCell ref="A4:Q4"/>
  </mergeCells>
  <phoneticPr fontId="24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B16" sqref="B16:B20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9" spans="1:3" ht="15.75">
      <c r="A9" s="1257" t="s">
        <v>1520</v>
      </c>
      <c r="B9" s="1257"/>
      <c r="C9" s="1257"/>
    </row>
    <row r="11" spans="1:3" ht="15.75">
      <c r="A11" s="1245" t="s">
        <v>64</v>
      </c>
      <c r="B11" s="1245"/>
      <c r="C11" s="1245"/>
    </row>
    <row r="14" spans="1:3">
      <c r="A14" s="300" t="s">
        <v>63</v>
      </c>
      <c r="B14" s="694" t="s">
        <v>630</v>
      </c>
      <c r="C14" s="86" t="s">
        <v>1004</v>
      </c>
    </row>
    <row r="15" spans="1:3">
      <c r="A15" s="104"/>
      <c r="B15" s="268"/>
      <c r="C15" s="60"/>
    </row>
    <row r="16" spans="1:3">
      <c r="A16" s="304" t="s">
        <v>379</v>
      </c>
      <c r="B16" s="618"/>
      <c r="C16" s="60" t="s">
        <v>64</v>
      </c>
    </row>
    <row r="17" spans="1:3">
      <c r="A17" s="304" t="s">
        <v>145</v>
      </c>
      <c r="B17" s="618"/>
      <c r="C17" s="60" t="s">
        <v>129</v>
      </c>
    </row>
    <row r="18" spans="1:3">
      <c r="A18" s="304" t="s">
        <v>1189</v>
      </c>
      <c r="B18" s="618"/>
      <c r="C18" s="60" t="s">
        <v>1159</v>
      </c>
    </row>
    <row r="19" spans="1:3">
      <c r="A19" s="304" t="s">
        <v>3</v>
      </c>
      <c r="B19" s="618"/>
      <c r="C19" s="60" t="s">
        <v>474</v>
      </c>
    </row>
    <row r="20" spans="1:3">
      <c r="A20" s="304" t="s">
        <v>473</v>
      </c>
      <c r="B20" s="618"/>
      <c r="C20" t="s">
        <v>475</v>
      </c>
    </row>
    <row r="21" spans="1:3">
      <c r="B21" s="106"/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view="pageBreakPreview" zoomScaleNormal="100" zoomScaleSheetLayoutView="100" workbookViewId="0">
      <selection activeCell="B16" sqref="B16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4" spans="1:3" ht="15.75">
      <c r="A14" s="382" t="s">
        <v>63</v>
      </c>
      <c r="B14" s="382"/>
      <c r="C14" s="382" t="s">
        <v>1004</v>
      </c>
    </row>
    <row r="15" spans="1:3">
      <c r="A15" s="104"/>
      <c r="B15" s="60"/>
      <c r="C15" s="60"/>
    </row>
    <row r="16" spans="1:3">
      <c r="A16" s="104" t="s">
        <v>175</v>
      </c>
      <c r="B16" s="104"/>
      <c r="C16" s="104" t="s">
        <v>1019</v>
      </c>
    </row>
  </sheetData>
  <mergeCells count="4"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M15" sqref="M15"/>
    </sheetView>
  </sheetViews>
  <sheetFormatPr defaultColWidth="10.109375" defaultRowHeight="15"/>
  <cols>
    <col min="1" max="1" width="5.21875" style="60" customWidth="1"/>
    <col min="2" max="2" width="2.21875" style="60" customWidth="1"/>
    <col min="3" max="3" width="26.109375" style="60" customWidth="1"/>
    <col min="4" max="4" width="13.21875" style="60" customWidth="1"/>
    <col min="5" max="5" width="2.33203125" style="60" customWidth="1"/>
    <col min="6" max="6" width="13.21875" style="60" customWidth="1"/>
    <col min="7" max="7" width="2.109375" style="60" customWidth="1"/>
    <col min="8" max="8" width="12.88671875" style="60" customWidth="1"/>
    <col min="9" max="9" width="2.109375" style="60" customWidth="1"/>
    <col min="10" max="10" width="13.88671875" style="60" customWidth="1"/>
    <col min="11" max="11" width="4.88671875" style="60" customWidth="1"/>
    <col min="12" max="12" width="6.5546875" style="60" bestFit="1" customWidth="1"/>
    <col min="13" max="13" width="11.109375" style="60" customWidth="1"/>
    <col min="14" max="14" width="8" style="60" bestFit="1" customWidth="1"/>
    <col min="15" max="15" width="12" style="60" customWidth="1"/>
    <col min="16" max="16" width="10.109375" style="60" customWidth="1"/>
    <col min="17" max="17" width="3.21875" style="60" customWidth="1"/>
    <col min="18" max="18" width="11.88671875" style="60" customWidth="1"/>
    <col min="19" max="19" width="1.33203125" style="60" customWidth="1"/>
    <col min="20" max="20" width="12.33203125" style="60" customWidth="1"/>
    <col min="21" max="21" width="1.6640625" style="60" customWidth="1"/>
    <col min="22" max="22" width="10.5546875" style="60" bestFit="1" customWidth="1"/>
    <col min="23" max="23" width="0.88671875" style="60" customWidth="1"/>
    <col min="24" max="24" width="10.44140625" style="60" bestFit="1" customWidth="1"/>
    <col min="25" max="16384" width="10.109375" style="60"/>
  </cols>
  <sheetData>
    <row r="1" spans="1:24" s="1" customFormat="1">
      <c r="A1" s="1258" t="str">
        <f>'Table of Contents'!A1:C1</f>
        <v>Atmos Energy Corporation, Kentucky/Mid-States Division</v>
      </c>
      <c r="B1" s="1258"/>
      <c r="C1" s="1258"/>
      <c r="D1" s="1258"/>
      <c r="E1" s="1258"/>
      <c r="F1" s="1258"/>
      <c r="G1" s="1258"/>
      <c r="H1" s="1258"/>
      <c r="I1" s="1258"/>
      <c r="J1" s="1258"/>
    </row>
    <row r="2" spans="1:24" s="1" customFormat="1">
      <c r="A2" s="1258" t="str">
        <f>'Table of Contents'!A2:C2</f>
        <v>Kentucky Jurisdiction Case No. 2015-00343</v>
      </c>
      <c r="B2" s="1258"/>
      <c r="C2" s="1258"/>
      <c r="D2" s="1258"/>
      <c r="E2" s="1258"/>
      <c r="F2" s="1258"/>
      <c r="G2" s="1258"/>
      <c r="H2" s="1258"/>
      <c r="I2" s="1258"/>
      <c r="J2" s="1258"/>
    </row>
    <row r="3" spans="1:24" s="1" customFormat="1">
      <c r="A3" s="1258" t="s">
        <v>64</v>
      </c>
      <c r="B3" s="1258"/>
      <c r="C3" s="1258"/>
      <c r="D3" s="1258"/>
      <c r="E3" s="1258"/>
      <c r="F3" s="1258"/>
      <c r="G3" s="1258"/>
      <c r="H3" s="1258"/>
      <c r="I3" s="1258"/>
      <c r="J3" s="1258"/>
    </row>
    <row r="4" spans="1:24" s="1" customFormat="1">
      <c r="A4" s="1258" t="str">
        <f>'Table of Contents'!A4:C4</f>
        <v>Forecasted Test Period: Twelve Months Ended May 31, 2017</v>
      </c>
      <c r="B4" s="1258"/>
      <c r="C4" s="1258"/>
      <c r="D4" s="1258"/>
      <c r="E4" s="1258"/>
      <c r="F4" s="1258"/>
      <c r="G4" s="1258"/>
      <c r="H4" s="1258"/>
      <c r="I4" s="1258"/>
      <c r="J4" s="1258"/>
    </row>
    <row r="5" spans="1:24" s="1" customFormat="1">
      <c r="A5" s="589"/>
      <c r="B5" s="589"/>
      <c r="C5" s="589"/>
      <c r="D5" s="589"/>
      <c r="E5" s="589"/>
      <c r="F5" s="589"/>
      <c r="G5" s="589"/>
      <c r="H5" s="589"/>
      <c r="I5" s="589"/>
      <c r="J5" s="589"/>
    </row>
    <row r="6" spans="1:24" s="1" customFormat="1"/>
    <row r="7" spans="1:24" s="1" customFormat="1">
      <c r="A7" s="4" t="s">
        <v>878</v>
      </c>
      <c r="I7" s="4"/>
      <c r="J7" s="491" t="s">
        <v>1521</v>
      </c>
    </row>
    <row r="8" spans="1:24" s="1" customFormat="1">
      <c r="A8" s="4" t="s">
        <v>631</v>
      </c>
      <c r="H8" s="4"/>
      <c r="I8" s="4"/>
      <c r="J8" s="648" t="s">
        <v>270</v>
      </c>
    </row>
    <row r="9" spans="1:24" s="1" customFormat="1">
      <c r="A9" s="5" t="s">
        <v>375</v>
      </c>
      <c r="B9" s="6"/>
      <c r="C9" s="6"/>
      <c r="D9" s="6"/>
      <c r="E9" s="6"/>
      <c r="F9" s="6"/>
      <c r="G9" s="6"/>
      <c r="H9" s="5"/>
      <c r="I9" s="5"/>
      <c r="J9" s="726" t="s">
        <v>1391</v>
      </c>
    </row>
    <row r="10" spans="1:24" s="1" customFormat="1">
      <c r="D10" s="77" t="s">
        <v>45</v>
      </c>
      <c r="F10" s="2" t="s">
        <v>44</v>
      </c>
      <c r="J10" s="2" t="s">
        <v>44</v>
      </c>
      <c r="R10" s="980"/>
      <c r="S10" s="980"/>
      <c r="T10" s="980"/>
      <c r="U10" s="980"/>
      <c r="V10" s="980"/>
      <c r="W10" s="980"/>
      <c r="X10" s="980"/>
    </row>
    <row r="11" spans="1:24" s="1" customFormat="1">
      <c r="A11" s="2" t="s">
        <v>98</v>
      </c>
      <c r="D11" s="2" t="s">
        <v>443</v>
      </c>
      <c r="F11" s="2" t="s">
        <v>443</v>
      </c>
      <c r="H11" s="2" t="s">
        <v>409</v>
      </c>
      <c r="J11" s="2" t="s">
        <v>443</v>
      </c>
      <c r="R11" s="980"/>
      <c r="S11" s="980"/>
      <c r="T11" s="980"/>
      <c r="U11" s="980"/>
      <c r="V11" s="980"/>
      <c r="W11" s="980"/>
      <c r="X11" s="980"/>
    </row>
    <row r="12" spans="1:24">
      <c r="A12" s="9" t="s">
        <v>104</v>
      </c>
      <c r="B12" s="6"/>
      <c r="C12" s="5" t="s">
        <v>1004</v>
      </c>
      <c r="D12" s="9" t="s">
        <v>441</v>
      </c>
      <c r="E12" s="6"/>
      <c r="F12" s="9" t="s">
        <v>441</v>
      </c>
      <c r="G12" s="6"/>
      <c r="H12" s="9" t="s">
        <v>1132</v>
      </c>
      <c r="I12" s="6"/>
      <c r="J12" s="9" t="s">
        <v>442</v>
      </c>
      <c r="K12" s="1"/>
      <c r="L12" s="980"/>
      <c r="M12" s="1"/>
      <c r="N12" s="1"/>
      <c r="O12" s="988"/>
      <c r="P12" s="989"/>
      <c r="R12" s="980"/>
      <c r="S12" s="980"/>
      <c r="T12" s="980"/>
      <c r="U12" s="980"/>
      <c r="V12" s="990"/>
      <c r="W12" s="990"/>
      <c r="X12" s="980"/>
    </row>
    <row r="13" spans="1:24">
      <c r="D13" s="260"/>
      <c r="F13" s="260"/>
      <c r="H13" s="260"/>
      <c r="J13" s="260"/>
      <c r="L13" s="980"/>
      <c r="O13" s="989"/>
      <c r="P13" s="989"/>
      <c r="R13" s="991"/>
      <c r="S13" s="980"/>
      <c r="T13" s="980"/>
      <c r="U13" s="980"/>
      <c r="V13" s="991"/>
      <c r="W13" s="991"/>
      <c r="X13" s="980"/>
    </row>
    <row r="14" spans="1:24">
      <c r="F14" s="268"/>
      <c r="L14" s="980"/>
      <c r="O14" s="883"/>
      <c r="P14" s="883"/>
      <c r="R14" s="980"/>
      <c r="S14" s="980"/>
      <c r="T14" s="980"/>
      <c r="U14" s="980"/>
      <c r="V14" s="980"/>
      <c r="W14" s="980"/>
      <c r="X14" s="980"/>
    </row>
    <row r="15" spans="1:24">
      <c r="A15" s="260">
        <v>1</v>
      </c>
      <c r="C15" s="247" t="s">
        <v>755</v>
      </c>
      <c r="D15" s="387">
        <f>+C.2!D14</f>
        <v>159871899.65203637</v>
      </c>
      <c r="E15" s="268"/>
      <c r="F15" s="387">
        <f>C.2!O14</f>
        <v>166804655.47242033</v>
      </c>
      <c r="G15" s="259"/>
      <c r="H15" s="635">
        <f>A.1!G32</f>
        <v>3213606</v>
      </c>
      <c r="I15" s="259"/>
      <c r="J15" s="635">
        <f>+F15+H15</f>
        <v>170018261.47242033</v>
      </c>
      <c r="K15" s="259"/>
      <c r="L15" s="1007"/>
      <c r="M15" s="635"/>
      <c r="N15" s="259"/>
      <c r="O15" s="886"/>
      <c r="P15" s="884"/>
      <c r="Q15" s="259"/>
      <c r="R15" s="992"/>
      <c r="S15" s="992"/>
      <c r="T15" s="992"/>
      <c r="U15" s="980"/>
      <c r="V15" s="980"/>
      <c r="W15" s="980"/>
      <c r="X15" s="980"/>
    </row>
    <row r="16" spans="1:24">
      <c r="D16" s="268"/>
      <c r="E16" s="268"/>
      <c r="F16" s="301"/>
      <c r="G16" s="259"/>
      <c r="H16" s="259"/>
      <c r="I16" s="259"/>
      <c r="J16" s="259"/>
      <c r="K16" s="259"/>
      <c r="L16" s="998"/>
      <c r="M16" s="259"/>
      <c r="N16" s="259"/>
      <c r="O16" s="885"/>
      <c r="P16" s="884"/>
      <c r="Q16" s="259"/>
      <c r="R16" s="993"/>
      <c r="S16" s="993"/>
      <c r="T16" s="994"/>
      <c r="U16" s="980"/>
      <c r="V16" s="980"/>
      <c r="W16" s="980"/>
      <c r="X16" s="980"/>
    </row>
    <row r="17" spans="1:24">
      <c r="A17" s="260">
        <v>2</v>
      </c>
      <c r="C17" s="247" t="s">
        <v>1009</v>
      </c>
      <c r="D17" s="268"/>
      <c r="E17" s="268"/>
      <c r="F17" s="301"/>
      <c r="G17" s="259"/>
      <c r="H17" s="259"/>
      <c r="I17" s="259"/>
      <c r="J17" s="259"/>
      <c r="K17" s="259"/>
      <c r="L17" s="998"/>
      <c r="M17" s="259"/>
      <c r="N17" s="259"/>
      <c r="O17" s="885"/>
      <c r="P17" s="884"/>
      <c r="Q17" s="259"/>
      <c r="R17" s="993"/>
      <c r="S17" s="993"/>
      <c r="T17" s="994"/>
      <c r="U17" s="980"/>
      <c r="V17" s="980"/>
      <c r="W17" s="980"/>
      <c r="X17" s="980"/>
    </row>
    <row r="18" spans="1:24">
      <c r="A18" s="260">
        <v>3</v>
      </c>
      <c r="C18" s="327" t="s">
        <v>24</v>
      </c>
      <c r="D18" s="391">
        <f>+C.2!D17</f>
        <v>77033020.869385153</v>
      </c>
      <c r="E18" s="684"/>
      <c r="F18" s="391">
        <f>C.2!O17</f>
        <v>79378176.690454662</v>
      </c>
      <c r="G18" s="391"/>
      <c r="H18" s="391"/>
      <c r="I18" s="391"/>
      <c r="J18" s="391">
        <f>+F18+H18</f>
        <v>79378176.690454662</v>
      </c>
      <c r="K18" s="259"/>
      <c r="L18" s="1007"/>
      <c r="M18" s="259"/>
      <c r="O18" s="886"/>
      <c r="P18" s="884"/>
      <c r="Q18" s="259"/>
      <c r="R18" s="992"/>
      <c r="S18" s="995"/>
      <c r="T18" s="992"/>
      <c r="U18" s="980"/>
      <c r="V18" s="980"/>
      <c r="W18" s="980"/>
      <c r="X18" s="980"/>
    </row>
    <row r="19" spans="1:24">
      <c r="A19" s="260">
        <v>4</v>
      </c>
      <c r="C19" s="327" t="s">
        <v>471</v>
      </c>
      <c r="D19" s="391">
        <f>SUM(C.2!D18:D25)</f>
        <v>26647444.677202497</v>
      </c>
      <c r="E19" s="684"/>
      <c r="F19" s="391">
        <f>SUM(C.2!O18:O25)</f>
        <v>25474588.783307165</v>
      </c>
      <c r="G19" s="391"/>
      <c r="H19" s="391">
        <f>+(H15*H.1!E19)</f>
        <v>16068.03</v>
      </c>
      <c r="I19" s="391"/>
      <c r="J19" s="391">
        <f>+F19+H19</f>
        <v>25490656.813307166</v>
      </c>
      <c r="K19" s="259"/>
      <c r="L19" s="1007"/>
      <c r="M19" s="884"/>
      <c r="N19" s="986"/>
      <c r="O19" s="886"/>
      <c r="P19" s="884"/>
      <c r="Q19" s="259"/>
      <c r="R19" s="992"/>
      <c r="S19" s="995"/>
      <c r="T19" s="992"/>
      <c r="U19" s="980"/>
      <c r="V19" s="980"/>
      <c r="W19" s="980"/>
      <c r="X19" s="980"/>
    </row>
    <row r="20" spans="1:24">
      <c r="A20" s="260">
        <v>5</v>
      </c>
      <c r="C20" s="247" t="s">
        <v>1071</v>
      </c>
      <c r="D20" s="391">
        <f>+C.2!D26</f>
        <v>18252729.938099388</v>
      </c>
      <c r="E20" s="684"/>
      <c r="F20" s="391">
        <f>+C.2!O26</f>
        <v>19444465.926407062</v>
      </c>
      <c r="G20" s="697"/>
      <c r="H20" s="391"/>
      <c r="I20" s="697"/>
      <c r="J20" s="697">
        <f>+F20+H20</f>
        <v>19444465.926407062</v>
      </c>
      <c r="K20" s="259"/>
      <c r="L20" s="1007"/>
      <c r="M20" s="259"/>
      <c r="N20" s="987"/>
      <c r="O20" s="886"/>
      <c r="P20" s="884"/>
      <c r="Q20" s="259"/>
      <c r="R20" s="992"/>
      <c r="S20" s="995"/>
      <c r="T20" s="992"/>
      <c r="U20" s="980"/>
      <c r="V20" s="980"/>
      <c r="W20" s="980"/>
      <c r="X20" s="980"/>
    </row>
    <row r="21" spans="1:24">
      <c r="A21" s="260">
        <v>6</v>
      </c>
      <c r="C21" s="247" t="s">
        <v>642</v>
      </c>
      <c r="D21" s="391">
        <f>+C.2!D27</f>
        <v>6437544.724313166</v>
      </c>
      <c r="E21" s="684"/>
      <c r="F21" s="391">
        <f>+C.2!O27</f>
        <v>6100220.1526932763</v>
      </c>
      <c r="G21" s="697"/>
      <c r="H21" s="391">
        <f>(H15*H.1!E21)</f>
        <v>6109.0650059999998</v>
      </c>
      <c r="I21" s="697"/>
      <c r="J21" s="697">
        <f>+F21+H21</f>
        <v>6106329.2176992763</v>
      </c>
      <c r="K21" s="259"/>
      <c r="L21" s="1007"/>
      <c r="M21" s="884"/>
      <c r="N21" s="986"/>
      <c r="O21" s="886"/>
      <c r="P21" s="884"/>
      <c r="Q21" s="259"/>
      <c r="R21" s="992"/>
      <c r="S21" s="995"/>
      <c r="T21" s="992"/>
      <c r="U21" s="980"/>
      <c r="V21" s="980"/>
      <c r="W21" s="980"/>
      <c r="X21" s="980"/>
    </row>
    <row r="22" spans="1:24">
      <c r="A22" s="260">
        <v>7</v>
      </c>
      <c r="C22" s="247"/>
      <c r="D22" s="548"/>
      <c r="E22" s="548"/>
      <c r="F22" s="697"/>
      <c r="G22" s="697"/>
      <c r="H22" s="391"/>
      <c r="I22" s="697"/>
      <c r="J22" s="697"/>
      <c r="K22" s="259"/>
      <c r="L22" s="998"/>
      <c r="M22" s="259"/>
      <c r="O22" s="886"/>
      <c r="P22" s="884"/>
      <c r="Q22" s="259"/>
      <c r="R22" s="996"/>
      <c r="S22" s="996"/>
      <c r="T22" s="997"/>
      <c r="U22" s="980"/>
      <c r="V22" s="980"/>
      <c r="W22" s="980"/>
      <c r="X22" s="980"/>
    </row>
    <row r="23" spans="1:24">
      <c r="A23" s="260">
        <v>8</v>
      </c>
      <c r="C23" s="247" t="s">
        <v>312</v>
      </c>
      <c r="D23" s="698">
        <f>+E!E23</f>
        <v>9449315.0432112589</v>
      </c>
      <c r="E23" s="548"/>
      <c r="F23" s="698">
        <f>E!G23</f>
        <v>11151747.424144488</v>
      </c>
      <c r="G23" s="697"/>
      <c r="H23" s="698">
        <f>((+H15-H19-H21)*0.06)+((+H15-H19-H21-((+H15-H19-H21)*0.06))*0.35)</f>
        <v>1241465.8440426658</v>
      </c>
      <c r="I23" s="697"/>
      <c r="J23" s="699">
        <f>+F23+H23</f>
        <v>12393213.268187154</v>
      </c>
      <c r="K23" s="259"/>
      <c r="L23" s="1007"/>
      <c r="M23" s="259"/>
      <c r="N23" s="259"/>
      <c r="O23" s="886"/>
      <c r="P23" s="884"/>
      <c r="Q23" s="259"/>
      <c r="R23" s="992"/>
      <c r="S23" s="995"/>
      <c r="T23" s="992"/>
      <c r="U23" s="980"/>
      <c r="V23" s="980"/>
      <c r="W23" s="980"/>
      <c r="X23" s="980"/>
    </row>
    <row r="24" spans="1:24">
      <c r="A24" s="260">
        <v>9</v>
      </c>
      <c r="C24" s="247" t="s">
        <v>1141</v>
      </c>
      <c r="D24" s="635">
        <f>SUM(D18:D23)</f>
        <v>137820055.25221145</v>
      </c>
      <c r="F24" s="387">
        <f>SUM(F18:F23)</f>
        <v>141549198.97700664</v>
      </c>
      <c r="G24" s="259"/>
      <c r="H24" s="635">
        <f>SUM(H18:H23)</f>
        <v>1263642.9390486658</v>
      </c>
      <c r="I24" s="259"/>
      <c r="J24" s="635">
        <f>SUM(J18:J23)</f>
        <v>142812841.91605532</v>
      </c>
      <c r="K24" s="259"/>
      <c r="L24" s="1007"/>
      <c r="M24" s="259"/>
      <c r="N24" s="259"/>
      <c r="O24" s="886"/>
      <c r="P24" s="884"/>
      <c r="Q24" s="259"/>
      <c r="R24" s="992"/>
      <c r="S24" s="995"/>
      <c r="T24" s="992"/>
      <c r="U24" s="980"/>
      <c r="V24" s="980"/>
      <c r="W24" s="980"/>
      <c r="X24" s="980"/>
    </row>
    <row r="25" spans="1:24">
      <c r="D25" s="259"/>
      <c r="F25" s="301"/>
      <c r="G25" s="259"/>
      <c r="H25" s="259"/>
      <c r="I25" s="259"/>
      <c r="J25" s="259"/>
      <c r="K25" s="259"/>
      <c r="L25" s="998"/>
      <c r="M25" s="259"/>
      <c r="N25" s="259"/>
      <c r="O25" s="885"/>
      <c r="P25" s="884"/>
      <c r="Q25" s="259"/>
      <c r="R25" s="992"/>
      <c r="S25" s="995"/>
      <c r="T25" s="992"/>
      <c r="U25" s="980"/>
      <c r="V25" s="980"/>
      <c r="W25" s="980"/>
      <c r="X25" s="980"/>
    </row>
    <row r="26" spans="1:24" ht="15.75" thickBot="1">
      <c r="A26" s="260">
        <v>10</v>
      </c>
      <c r="C26" s="247" t="s">
        <v>810</v>
      </c>
      <c r="D26" s="695">
        <f>D15-D24</f>
        <v>22051844.399824917</v>
      </c>
      <c r="F26" s="696">
        <f>F15-F24</f>
        <v>25255456.495413691</v>
      </c>
      <c r="G26" s="259"/>
      <c r="H26" s="696">
        <f>H15-H24</f>
        <v>1949963.0609513342</v>
      </c>
      <c r="I26" s="259"/>
      <c r="J26" s="695">
        <f>J15-J24</f>
        <v>27205419.556365013</v>
      </c>
      <c r="K26" s="259"/>
      <c r="L26" s="1007"/>
      <c r="M26" s="259"/>
      <c r="N26" s="259"/>
      <c r="O26" s="886"/>
      <c r="P26" s="884"/>
      <c r="Q26" s="259"/>
      <c r="R26" s="992"/>
      <c r="S26" s="995"/>
      <c r="T26" s="992"/>
      <c r="U26" s="980"/>
      <c r="V26" s="980"/>
      <c r="W26" s="980"/>
      <c r="X26" s="980"/>
    </row>
    <row r="27" spans="1:24" ht="15.75" thickTop="1">
      <c r="F27" s="301"/>
      <c r="G27" s="259"/>
      <c r="H27" s="259"/>
      <c r="I27" s="259"/>
      <c r="J27" s="259"/>
      <c r="K27" s="259"/>
      <c r="L27" s="998"/>
      <c r="M27" s="259"/>
      <c r="N27" s="259"/>
      <c r="O27" s="259"/>
      <c r="P27" s="259"/>
      <c r="Q27" s="259"/>
      <c r="R27" s="980"/>
      <c r="S27" s="996"/>
      <c r="T27" s="994"/>
      <c r="U27" s="980"/>
      <c r="V27" s="980"/>
      <c r="W27" s="980"/>
      <c r="X27" s="980"/>
    </row>
    <row r="28" spans="1:24">
      <c r="A28" s="260">
        <v>11</v>
      </c>
      <c r="C28" s="247" t="s">
        <v>276</v>
      </c>
      <c r="D28" s="391">
        <f>+'B.1 B'!F27</f>
        <v>295969027.76444441</v>
      </c>
      <c r="E28" s="548"/>
      <c r="F28" s="391">
        <f>+'B.1 F '!F27</f>
        <v>335042110.48015654</v>
      </c>
      <c r="G28" s="697"/>
      <c r="H28" s="697"/>
      <c r="I28" s="697"/>
      <c r="J28" s="697">
        <f>+'B.1 F '!F27</f>
        <v>335042110.48015654</v>
      </c>
      <c r="K28" s="259"/>
      <c r="L28" s="998"/>
      <c r="M28" s="259"/>
      <c r="N28" s="259"/>
      <c r="O28" s="259"/>
      <c r="P28" s="259"/>
      <c r="Q28" s="259"/>
      <c r="R28" s="992"/>
      <c r="S28" s="996"/>
      <c r="T28" s="992"/>
      <c r="U28" s="980"/>
      <c r="V28" s="980"/>
      <c r="W28" s="980"/>
      <c r="X28" s="980"/>
    </row>
    <row r="29" spans="1:24"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980"/>
      <c r="S29" s="980"/>
      <c r="T29" s="998"/>
      <c r="U29" s="980"/>
      <c r="V29" s="980"/>
      <c r="W29" s="980"/>
      <c r="X29" s="980"/>
    </row>
    <row r="30" spans="1:24">
      <c r="A30" s="260">
        <v>12</v>
      </c>
      <c r="C30" s="247" t="s">
        <v>754</v>
      </c>
      <c r="D30" s="383">
        <f>(D26/D28)</f>
        <v>7.4507270461338676E-2</v>
      </c>
      <c r="F30" s="383">
        <f>(F26/F28)</f>
        <v>7.5379946894494898E-2</v>
      </c>
      <c r="H30" s="305"/>
      <c r="J30" s="383">
        <f>(J26/J28)</f>
        <v>8.1200000553292545E-2</v>
      </c>
      <c r="K30" s="259"/>
      <c r="L30" s="259"/>
      <c r="M30" s="259"/>
      <c r="R30" s="999"/>
      <c r="S30" s="980"/>
      <c r="T30" s="999"/>
      <c r="U30" s="980"/>
      <c r="V30" s="999"/>
      <c r="W30" s="999"/>
      <c r="X30" s="999"/>
    </row>
    <row r="31" spans="1:24">
      <c r="F31" s="259"/>
      <c r="H31" s="305"/>
      <c r="J31" s="259"/>
      <c r="K31" s="259"/>
      <c r="L31" s="259"/>
      <c r="M31" s="259"/>
      <c r="R31" s="980"/>
      <c r="S31" s="980"/>
      <c r="T31" s="980"/>
      <c r="U31" s="980"/>
      <c r="V31" s="980"/>
      <c r="W31" s="980"/>
      <c r="X31" s="980"/>
    </row>
    <row r="32" spans="1:24">
      <c r="F32" s="259"/>
      <c r="H32" s="259"/>
      <c r="J32" s="259"/>
      <c r="K32" s="259"/>
      <c r="L32" s="259"/>
      <c r="M32" s="259"/>
      <c r="R32" s="980"/>
      <c r="S32" s="980"/>
      <c r="T32" s="980"/>
      <c r="U32" s="980"/>
      <c r="V32" s="980"/>
      <c r="W32" s="980"/>
      <c r="X32" s="980"/>
    </row>
    <row r="33" spans="3:24">
      <c r="C33" s="891"/>
      <c r="D33" s="892"/>
      <c r="E33" s="892"/>
      <c r="F33" s="892"/>
      <c r="G33" s="892"/>
      <c r="H33" s="892"/>
      <c r="I33" s="892"/>
      <c r="J33" s="892"/>
      <c r="K33" s="259"/>
      <c r="L33" s="259"/>
      <c r="M33" s="259"/>
      <c r="R33" s="980"/>
      <c r="S33" s="980"/>
      <c r="T33" s="980"/>
      <c r="U33" s="980"/>
      <c r="V33" s="980"/>
      <c r="W33" s="980"/>
      <c r="X33" s="980"/>
    </row>
    <row r="34" spans="3:24">
      <c r="F34" s="259"/>
      <c r="K34" s="259"/>
      <c r="L34" s="259"/>
      <c r="M34" s="259"/>
    </row>
    <row r="35" spans="3:24">
      <c r="F35" s="259"/>
      <c r="K35" s="259"/>
      <c r="L35" s="259"/>
      <c r="M35" s="259"/>
    </row>
  </sheetData>
  <mergeCells count="4">
    <mergeCell ref="A1:J1"/>
    <mergeCell ref="A2:J2"/>
    <mergeCell ref="A3:J3"/>
    <mergeCell ref="A4:J4"/>
  </mergeCells>
  <phoneticPr fontId="24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80" zoomScaleNormal="90" zoomScaleSheetLayoutView="80" workbookViewId="0">
      <selection activeCell="M37" sqref="M37"/>
    </sheetView>
  </sheetViews>
  <sheetFormatPr defaultColWidth="7.109375" defaultRowHeight="15"/>
  <cols>
    <col min="1" max="1" width="3.5546875" style="60" customWidth="1"/>
    <col min="2" max="2" width="2.21875" style="60" customWidth="1"/>
    <col min="3" max="3" width="27.5546875" style="60" customWidth="1"/>
    <col min="4" max="4" width="13.109375" style="60" bestFit="1" customWidth="1"/>
    <col min="5" max="5" width="1.33203125" style="60" customWidth="1"/>
    <col min="6" max="6" width="12.6640625" style="60" customWidth="1"/>
    <col min="7" max="7" width="6.21875" style="60" bestFit="1" customWidth="1"/>
    <col min="8" max="8" width="7.33203125" style="60" customWidth="1"/>
    <col min="9" max="9" width="6" style="60" customWidth="1"/>
    <col min="10" max="10" width="1.44140625" style="60" customWidth="1"/>
    <col min="11" max="11" width="12.88671875" style="60" customWidth="1"/>
    <col min="12" max="12" width="1.44140625" style="60" customWidth="1"/>
    <col min="13" max="13" width="11.5546875" style="60" customWidth="1"/>
    <col min="14" max="14" width="14.5546875" style="60" customWidth="1"/>
    <col min="15" max="15" width="13.44140625" style="60" customWidth="1"/>
    <col min="16" max="16" width="11.77734375" style="60" bestFit="1" customWidth="1"/>
    <col min="17" max="17" width="2.109375" style="60" customWidth="1"/>
    <col min="18" max="18" width="8.5546875" style="60" customWidth="1"/>
    <col min="19" max="21" width="7.109375" style="60"/>
    <col min="22" max="22" width="8" style="60" bestFit="1" customWidth="1"/>
    <col min="23" max="23" width="9.21875" style="60" customWidth="1"/>
    <col min="24" max="16384" width="7.109375" style="60"/>
  </cols>
  <sheetData>
    <row r="1" spans="1:20" s="1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</row>
    <row r="2" spans="1:20" s="1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</row>
    <row r="3" spans="1:20" s="1" customFormat="1">
      <c r="A3" s="1259" t="s">
        <v>411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</row>
    <row r="4" spans="1:20" s="1" customFormat="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</row>
    <row r="5" spans="1:20" s="1" customFormat="1">
      <c r="A5" s="1259" t="str">
        <f>'Table of Contents'!A4:C4</f>
        <v>Forecasted Test Period: Twelve Months Ended May 31, 2017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</row>
    <row r="6" spans="1:20" s="1" customFormat="1">
      <c r="C6" s="328"/>
    </row>
    <row r="7" spans="1:20" s="1" customFormat="1">
      <c r="A7" s="4" t="str">
        <f>C.1!A7</f>
        <v>Data:__X____Base Period___X___Forecasted Period</v>
      </c>
      <c r="K7" s="329"/>
      <c r="O7" s="491" t="s">
        <v>1522</v>
      </c>
    </row>
    <row r="8" spans="1:20" s="1" customFormat="1">
      <c r="A8" s="4" t="str">
        <f>C.1!A8</f>
        <v>Type of Filing:___X____Original________Updated ________Revised</v>
      </c>
      <c r="K8" s="329"/>
      <c r="O8" s="650" t="s">
        <v>271</v>
      </c>
    </row>
    <row r="9" spans="1:20" s="1" customFormat="1">
      <c r="A9" s="73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330"/>
      <c r="L9" s="6"/>
      <c r="M9" s="45"/>
      <c r="N9" s="45"/>
      <c r="O9" s="651" t="str">
        <f>C.1!J9</f>
        <v>Witness: Waller, Smith</v>
      </c>
    </row>
    <row r="10" spans="1:20">
      <c r="A10" s="1"/>
      <c r="B10" s="1"/>
      <c r="C10" s="1"/>
      <c r="D10" s="2" t="s">
        <v>1148</v>
      </c>
      <c r="E10" s="1"/>
      <c r="F10" s="1"/>
      <c r="G10" s="331"/>
      <c r="H10" s="104" t="s">
        <v>1412</v>
      </c>
      <c r="K10" s="260" t="s">
        <v>44</v>
      </c>
      <c r="O10" s="104" t="s">
        <v>133</v>
      </c>
    </row>
    <row r="11" spans="1:20">
      <c r="A11" s="281" t="s">
        <v>98</v>
      </c>
      <c r="C11" s="260" t="s">
        <v>1151</v>
      </c>
      <c r="D11" s="281" t="s">
        <v>756</v>
      </c>
      <c r="F11" s="104" t="s">
        <v>464</v>
      </c>
      <c r="G11" s="104" t="s">
        <v>462</v>
      </c>
      <c r="H11" s="260" t="s">
        <v>1413</v>
      </c>
      <c r="I11" s="104" t="s">
        <v>462</v>
      </c>
      <c r="K11" s="281" t="s">
        <v>756</v>
      </c>
      <c r="M11" s="104" t="s">
        <v>132</v>
      </c>
      <c r="N11" s="104" t="s">
        <v>462</v>
      </c>
      <c r="O11" s="104" t="s">
        <v>134</v>
      </c>
    </row>
    <row r="12" spans="1:20">
      <c r="A12" s="332" t="s">
        <v>104</v>
      </c>
      <c r="B12" s="262"/>
      <c r="C12" s="332" t="s">
        <v>1150</v>
      </c>
      <c r="D12" s="306" t="s">
        <v>1149</v>
      </c>
      <c r="E12" s="262"/>
      <c r="F12" s="306" t="s">
        <v>1006</v>
      </c>
      <c r="G12" s="333" t="s">
        <v>463</v>
      </c>
      <c r="H12" s="306" t="s">
        <v>1414</v>
      </c>
      <c r="I12" s="333" t="s">
        <v>463</v>
      </c>
      <c r="J12" s="262"/>
      <c r="K12" s="306" t="s">
        <v>1149</v>
      </c>
      <c r="L12" s="262"/>
      <c r="M12" s="578" t="s">
        <v>1006</v>
      </c>
      <c r="N12" s="333" t="s">
        <v>463</v>
      </c>
      <c r="O12" s="300" t="s">
        <v>1007</v>
      </c>
    </row>
    <row r="13" spans="1:20">
      <c r="C13" s="16"/>
      <c r="D13" s="260"/>
      <c r="F13" s="260"/>
      <c r="H13" s="260"/>
      <c r="K13" s="286"/>
      <c r="M13" s="1013"/>
      <c r="O13" s="260"/>
    </row>
    <row r="14" spans="1:20">
      <c r="A14" s="334">
        <v>1</v>
      </c>
      <c r="C14" s="247" t="s">
        <v>755</v>
      </c>
      <c r="D14" s="700">
        <f>+'C.2.1 B'!D32</f>
        <v>159871899.65203637</v>
      </c>
      <c r="E14" s="268"/>
      <c r="F14" s="387">
        <f>+K14-D14</f>
        <v>6932755.820383966</v>
      </c>
      <c r="G14" s="342" t="s">
        <v>1085</v>
      </c>
      <c r="H14" s="301"/>
      <c r="I14" s="268"/>
      <c r="J14" s="268"/>
      <c r="K14" s="700">
        <f>'C.2.1 F'!D28</f>
        <v>166804655.47242033</v>
      </c>
      <c r="L14" s="337"/>
      <c r="M14" s="387">
        <v>0</v>
      </c>
      <c r="N14" s="337"/>
      <c r="O14" s="387">
        <f>+K14+M14</f>
        <v>166804655.47242033</v>
      </c>
      <c r="P14" s="335"/>
    </row>
    <row r="15" spans="1:20">
      <c r="A15" s="312">
        <v>2</v>
      </c>
      <c r="C15" s="331"/>
      <c r="D15" s="337"/>
      <c r="E15" s="268"/>
      <c r="F15" s="337"/>
      <c r="G15" s="337"/>
      <c r="H15" s="337"/>
      <c r="I15" s="268"/>
      <c r="J15" s="268"/>
      <c r="K15" s="337"/>
      <c r="L15" s="337"/>
      <c r="M15" s="621"/>
      <c r="N15" s="337"/>
      <c r="O15" s="621"/>
      <c r="P15" s="335"/>
    </row>
    <row r="16" spans="1:20">
      <c r="A16" s="334">
        <v>3</v>
      </c>
      <c r="C16" s="247" t="s">
        <v>1009</v>
      </c>
      <c r="D16" s="268"/>
      <c r="E16" s="268"/>
      <c r="F16" s="268"/>
      <c r="G16" s="268"/>
      <c r="H16" s="268"/>
      <c r="I16" s="268"/>
      <c r="J16" s="268"/>
      <c r="K16" s="268"/>
      <c r="L16" s="268"/>
      <c r="M16" s="621"/>
      <c r="N16" s="268"/>
      <c r="O16" s="621"/>
      <c r="P16" s="335"/>
      <c r="Q16" s="305"/>
      <c r="S16" s="305"/>
      <c r="T16" s="335"/>
    </row>
    <row r="17" spans="1:23">
      <c r="A17" s="312">
        <v>4</v>
      </c>
      <c r="C17" s="327" t="s">
        <v>24</v>
      </c>
      <c r="D17" s="519">
        <f>+'C.2.1 B'!D104</f>
        <v>77033020.869385153</v>
      </c>
      <c r="E17" s="268"/>
      <c r="F17" s="391">
        <f t="shared" ref="F17:F28" si="0">+K17-D17-H17</f>
        <v>2345155.8210695088</v>
      </c>
      <c r="G17" s="342" t="s">
        <v>1085</v>
      </c>
      <c r="H17" s="301"/>
      <c r="I17" s="268"/>
      <c r="J17" s="268"/>
      <c r="K17" s="519">
        <f>'C.2.1 F'!D100</f>
        <v>79378176.690454662</v>
      </c>
      <c r="L17" s="337"/>
      <c r="M17" s="391">
        <v>0</v>
      </c>
      <c r="N17" s="337"/>
      <c r="O17" s="391">
        <f t="shared" ref="O17:O22" si="1">+K17+M17</f>
        <v>79378176.690454662</v>
      </c>
      <c r="P17" s="335"/>
      <c r="Q17" s="305"/>
      <c r="S17" s="305"/>
      <c r="T17" s="335"/>
    </row>
    <row r="18" spans="1:23">
      <c r="A18" s="334">
        <v>5</v>
      </c>
      <c r="C18" s="327" t="s">
        <v>651</v>
      </c>
      <c r="D18" s="701">
        <f>+'C.2.1 B'!D38+'C.2.1 B'!D42</f>
        <v>97.508702239093509</v>
      </c>
      <c r="E18" s="268"/>
      <c r="F18" s="391">
        <f t="shared" si="0"/>
        <v>6.2124282752623543</v>
      </c>
      <c r="G18" s="342" t="s">
        <v>1085</v>
      </c>
      <c r="H18" s="301"/>
      <c r="I18" s="268"/>
      <c r="J18" s="268"/>
      <c r="K18" s="519">
        <f>'C.2.1 F'!D34+'C.2.1 F'!D38</f>
        <v>103.72113051435586</v>
      </c>
      <c r="L18" s="301"/>
      <c r="M18" s="391">
        <v>0</v>
      </c>
      <c r="N18" s="301"/>
      <c r="O18" s="391">
        <f t="shared" si="1"/>
        <v>103.72113051435586</v>
      </c>
      <c r="P18" s="335"/>
    </row>
    <row r="19" spans="1:23">
      <c r="A19" s="312">
        <v>6</v>
      </c>
      <c r="C19" s="327" t="s">
        <v>652</v>
      </c>
      <c r="D19" s="701">
        <f>+'C.2.1 B'!D54+'C.2.1 B'!D64</f>
        <v>362408.55462948012</v>
      </c>
      <c r="E19" s="268"/>
      <c r="F19" s="391">
        <f t="shared" si="0"/>
        <v>-10202.418653225875</v>
      </c>
      <c r="G19" s="342" t="s">
        <v>1085</v>
      </c>
      <c r="H19" s="301"/>
      <c r="I19" s="268"/>
      <c r="J19" s="268"/>
      <c r="K19" s="519">
        <f>'C.2.1 F'!D50+'C.2.1 F'!D60</f>
        <v>352206.13597625424</v>
      </c>
      <c r="L19" s="301"/>
      <c r="M19" s="391">
        <v>0</v>
      </c>
      <c r="N19" s="301"/>
      <c r="O19" s="391">
        <f t="shared" si="1"/>
        <v>352206.13597625424</v>
      </c>
      <c r="P19" s="335"/>
    </row>
    <row r="20" spans="1:23">
      <c r="A20" s="334">
        <v>7</v>
      </c>
      <c r="C20" s="327" t="s">
        <v>667</v>
      </c>
      <c r="D20" s="701">
        <f>+'C.2.1 B'!D74+'C.2.1 B'!D82</f>
        <v>362953.50522512116</v>
      </c>
      <c r="E20" s="268"/>
      <c r="F20" s="391">
        <f t="shared" si="0"/>
        <v>-9798.8198200067272</v>
      </c>
      <c r="G20" s="342" t="s">
        <v>1085</v>
      </c>
      <c r="H20" s="301"/>
      <c r="I20" s="268"/>
      <c r="J20" s="268"/>
      <c r="K20" s="519">
        <f>'C.2.1 F'!D70+'C.2.1 F'!D78</f>
        <v>353154.68540511443</v>
      </c>
      <c r="L20" s="301"/>
      <c r="M20" s="391">
        <v>0</v>
      </c>
      <c r="N20" s="301"/>
      <c r="O20" s="391">
        <f t="shared" si="1"/>
        <v>353154.68540511443</v>
      </c>
      <c r="P20" s="335"/>
      <c r="R20" s="771"/>
      <c r="S20" s="771"/>
      <c r="T20" s="771"/>
      <c r="U20" s="771"/>
      <c r="V20" s="771"/>
      <c r="W20" s="771"/>
    </row>
    <row r="21" spans="1:23">
      <c r="A21" s="312">
        <v>8</v>
      </c>
      <c r="C21" s="339" t="s">
        <v>688</v>
      </c>
      <c r="D21" s="701">
        <f>+'C.2.1 B'!D119+'C.2.1 B'!D132</f>
        <v>7317820.6217355933</v>
      </c>
      <c r="E21" s="268"/>
      <c r="F21" s="391">
        <f t="shared" si="0"/>
        <v>-264089.70916668326</v>
      </c>
      <c r="G21" s="342" t="s">
        <v>1085</v>
      </c>
      <c r="H21" s="301"/>
      <c r="I21" s="618" t="s">
        <v>792</v>
      </c>
      <c r="J21" s="268"/>
      <c r="K21" s="702">
        <f>'C.2.1 F'!D115+'C.2.1 F'!D128</f>
        <v>7053730.91256891</v>
      </c>
      <c r="L21" s="301"/>
      <c r="M21" s="391">
        <f>-F.2.2!H20</f>
        <v>0</v>
      </c>
      <c r="N21" s="316"/>
      <c r="O21" s="391">
        <f t="shared" si="1"/>
        <v>7053730.91256891</v>
      </c>
      <c r="P21" s="335"/>
      <c r="R21" s="771"/>
      <c r="S21" s="771"/>
      <c r="T21" s="771"/>
      <c r="U21" s="771"/>
      <c r="V21" s="771"/>
      <c r="W21" s="771"/>
    </row>
    <row r="22" spans="1:23">
      <c r="A22" s="334">
        <v>9</v>
      </c>
      <c r="C22" s="339" t="s">
        <v>75</v>
      </c>
      <c r="D22" s="701">
        <f>+'C.2.1 B'!D139</f>
        <v>2146958.8701182501</v>
      </c>
      <c r="E22" s="268"/>
      <c r="F22" s="391">
        <f t="shared" si="0"/>
        <v>-326493.45884491457</v>
      </c>
      <c r="G22" s="342" t="s">
        <v>1085</v>
      </c>
      <c r="H22" s="301"/>
      <c r="I22" s="618" t="s">
        <v>792</v>
      </c>
      <c r="J22" s="268"/>
      <c r="K22" s="519">
        <f>'C.2.1 F'!D135</f>
        <v>1820465.4112733356</v>
      </c>
      <c r="L22" s="301"/>
      <c r="M22" s="391">
        <v>0</v>
      </c>
      <c r="N22" s="301"/>
      <c r="O22" s="391">
        <f t="shared" si="1"/>
        <v>1820465.4112733356</v>
      </c>
      <c r="P22" s="335"/>
      <c r="R22" s="771"/>
      <c r="S22" s="771"/>
      <c r="T22" s="904"/>
      <c r="U22" s="771"/>
      <c r="V22" s="771"/>
      <c r="W22" s="771"/>
    </row>
    <row r="23" spans="1:23">
      <c r="A23" s="312">
        <v>10</v>
      </c>
      <c r="C23" s="327" t="s">
        <v>76</v>
      </c>
      <c r="D23" s="519">
        <f>+'C.2.1 B'!D146</f>
        <v>125336.2162084311</v>
      </c>
      <c r="E23" s="268"/>
      <c r="F23" s="391">
        <f t="shared" si="0"/>
        <v>-2179.5890117313538</v>
      </c>
      <c r="G23" s="342" t="s">
        <v>1085</v>
      </c>
      <c r="H23" s="301"/>
      <c r="I23" s="618" t="s">
        <v>792</v>
      </c>
      <c r="J23" s="268"/>
      <c r="K23" s="519">
        <f>'C.2.1 F'!D142</f>
        <v>123156.62719669974</v>
      </c>
      <c r="L23" s="337"/>
      <c r="M23" s="391">
        <v>0</v>
      </c>
      <c r="N23" s="316"/>
      <c r="O23" s="391">
        <f>+K23+M23</f>
        <v>123156.62719669974</v>
      </c>
      <c r="P23" s="335"/>
      <c r="R23" s="771"/>
      <c r="S23" s="771"/>
      <c r="T23" s="905"/>
      <c r="U23" s="771"/>
      <c r="V23" s="771"/>
      <c r="W23" s="771"/>
    </row>
    <row r="24" spans="1:23">
      <c r="A24" s="334">
        <v>11</v>
      </c>
      <c r="C24" s="339" t="s">
        <v>509</v>
      </c>
      <c r="D24" s="519">
        <f>+'C.2.1 B'!D153</f>
        <v>337035.64807193889</v>
      </c>
      <c r="E24" s="268"/>
      <c r="F24" s="391">
        <f t="shared" si="0"/>
        <v>-7682.8330630506389</v>
      </c>
      <c r="G24" s="342" t="s">
        <v>1085</v>
      </c>
      <c r="H24" s="301"/>
      <c r="I24" s="618" t="s">
        <v>792</v>
      </c>
      <c r="J24" s="268"/>
      <c r="K24" s="519">
        <f>'C.2.1 F'!D149</f>
        <v>329352.81500888825</v>
      </c>
      <c r="L24" s="337"/>
      <c r="M24" s="391">
        <f>-F.4!K29</f>
        <v>-45795.870909826925</v>
      </c>
      <c r="N24" s="316" t="s">
        <v>569</v>
      </c>
      <c r="O24" s="391">
        <f>+K24+M24</f>
        <v>283556.94409906131</v>
      </c>
      <c r="P24" s="335"/>
      <c r="R24" s="771"/>
      <c r="S24" s="771"/>
      <c r="T24" s="905"/>
      <c r="U24" s="771"/>
      <c r="V24" s="771"/>
      <c r="W24" s="771"/>
    </row>
    <row r="25" spans="1:23">
      <c r="A25" s="312">
        <v>12</v>
      </c>
      <c r="C25" s="339" t="s">
        <v>510</v>
      </c>
      <c r="D25" s="519">
        <f>+'C.2.1 B'!D167+'C.2.1 B'!D171</f>
        <v>15994833.752511442</v>
      </c>
      <c r="E25" s="268"/>
      <c r="F25" s="391">
        <f t="shared" si="0"/>
        <v>824281.76744108647</v>
      </c>
      <c r="G25" s="342" t="s">
        <v>1085</v>
      </c>
      <c r="H25" s="301"/>
      <c r="I25" s="618" t="s">
        <v>792</v>
      </c>
      <c r="J25" s="268"/>
      <c r="K25" s="519">
        <f>'C.2.1 F'!D163+'C.2.1 F'!D167</f>
        <v>16819115.519952528</v>
      </c>
      <c r="L25" s="337"/>
      <c r="M25" s="391">
        <f>F.6!N27+F.6!J27-F.8!I24+F.9!G22-F.10!F41</f>
        <v>-1330901.1742952522</v>
      </c>
      <c r="N25" s="316" t="s">
        <v>1427</v>
      </c>
      <c r="O25" s="391">
        <f>+K25+M25</f>
        <v>15488214.345657276</v>
      </c>
      <c r="P25" s="335"/>
      <c r="Q25" s="305"/>
      <c r="R25" s="771"/>
      <c r="S25" s="771"/>
      <c r="T25" s="905"/>
      <c r="U25" s="771"/>
      <c r="V25" s="771"/>
      <c r="W25" s="771"/>
    </row>
    <row r="26" spans="1:23">
      <c r="A26" s="334">
        <v>13</v>
      </c>
      <c r="C26" s="341" t="s">
        <v>96</v>
      </c>
      <c r="D26" s="519">
        <f>+'C.2.1 B'!D175</f>
        <v>18252729.938099388</v>
      </c>
      <c r="E26" s="268"/>
      <c r="F26" s="391">
        <f t="shared" si="0"/>
        <v>1191735.9883076735</v>
      </c>
      <c r="G26" s="342" t="s">
        <v>1085</v>
      </c>
      <c r="H26" s="301"/>
      <c r="I26" s="268"/>
      <c r="J26" s="268"/>
      <c r="K26" s="519">
        <f>'C.2.1 F'!D171</f>
        <v>19444465.926407062</v>
      </c>
      <c r="L26" s="337"/>
      <c r="M26" s="391">
        <f>O26-K26</f>
        <v>0</v>
      </c>
      <c r="N26" s="337"/>
      <c r="O26" s="519">
        <f>'C.2.1 F'!D171</f>
        <v>19444465.926407062</v>
      </c>
      <c r="P26" s="335"/>
      <c r="Q26" s="305"/>
      <c r="R26" s="771"/>
      <c r="S26" s="906"/>
      <c r="T26" s="905"/>
      <c r="U26" s="771"/>
      <c r="V26" s="771"/>
      <c r="W26" s="771"/>
    </row>
    <row r="27" spans="1:23">
      <c r="A27" s="312">
        <v>14</v>
      </c>
      <c r="C27" s="339" t="s">
        <v>608</v>
      </c>
      <c r="D27" s="519">
        <f>+'C.2.1 B'!D176</f>
        <v>6437544.724313166</v>
      </c>
      <c r="F27" s="697">
        <f t="shared" si="0"/>
        <v>-337324.5716198897</v>
      </c>
      <c r="G27" s="336" t="s">
        <v>1085</v>
      </c>
      <c r="H27" s="259"/>
      <c r="K27" s="519">
        <f>'C.2.1 F'!D172</f>
        <v>6100220.1526932763</v>
      </c>
      <c r="L27" s="301"/>
      <c r="M27" s="391">
        <v>0</v>
      </c>
      <c r="N27" s="316"/>
      <c r="O27" s="697">
        <f>+K27+M27</f>
        <v>6100220.1526932763</v>
      </c>
      <c r="P27" s="335"/>
      <c r="Q27" s="305"/>
      <c r="S27" s="305"/>
      <c r="T27" s="259"/>
    </row>
    <row r="28" spans="1:23">
      <c r="A28" s="334">
        <v>15</v>
      </c>
      <c r="C28" s="341" t="s">
        <v>583</v>
      </c>
      <c r="D28" s="519">
        <f>+'C.2.1 B'!D177</f>
        <v>9449315.0432112589</v>
      </c>
      <c r="F28" s="697">
        <f t="shared" si="0"/>
        <v>1702432.380933227</v>
      </c>
      <c r="H28" s="259"/>
      <c r="K28" s="519">
        <f>'C.2.1 F'!D173</f>
        <v>11151747.424144486</v>
      </c>
      <c r="L28" s="337"/>
      <c r="M28" s="519">
        <f>+O28-K28</f>
        <v>0</v>
      </c>
      <c r="N28" s="342"/>
      <c r="O28" s="519">
        <f>+E!G23</f>
        <v>11151747.424144488</v>
      </c>
      <c r="P28" s="335"/>
      <c r="Q28" s="305"/>
      <c r="S28" s="305"/>
      <c r="T28" s="335"/>
    </row>
    <row r="29" spans="1:23">
      <c r="A29" s="312">
        <v>16</v>
      </c>
      <c r="C29" s="280"/>
      <c r="D29" s="264"/>
      <c r="F29" s="343"/>
      <c r="H29" s="344"/>
      <c r="K29" s="264"/>
      <c r="L29" s="259"/>
      <c r="M29" s="261"/>
      <c r="N29" s="259"/>
      <c r="O29" s="261"/>
      <c r="P29" s="335"/>
    </row>
    <row r="30" spans="1:23">
      <c r="A30" s="334">
        <v>17</v>
      </c>
      <c r="C30" s="298"/>
      <c r="D30" s="259"/>
      <c r="F30" s="259"/>
      <c r="H30" s="259"/>
      <c r="K30" s="259"/>
      <c r="L30" s="259"/>
      <c r="M30" s="338"/>
      <c r="N30" s="259"/>
      <c r="O30" s="338"/>
      <c r="P30" s="335"/>
      <c r="T30" s="340"/>
    </row>
    <row r="31" spans="1:23">
      <c r="A31" s="312">
        <v>18</v>
      </c>
      <c r="C31" s="247" t="s">
        <v>1141</v>
      </c>
      <c r="D31" s="635">
        <f>SUM(D17:D29)</f>
        <v>137820055.25221145</v>
      </c>
      <c r="F31" s="635">
        <f>SUM(F17:F29)</f>
        <v>5105840.7700002687</v>
      </c>
      <c r="H31" s="635">
        <f>SUM(H21:H29)</f>
        <v>0</v>
      </c>
      <c r="K31" s="635">
        <f>SUM(K17:K29)</f>
        <v>142925896.02221173</v>
      </c>
      <c r="L31" s="259"/>
      <c r="M31" s="635">
        <f>SUM(M17:M29)</f>
        <v>-1376697.045205079</v>
      </c>
      <c r="N31" s="259"/>
      <c r="O31" s="635">
        <f>SUM(O17:O29)</f>
        <v>141549198.97700664</v>
      </c>
      <c r="P31" s="335"/>
    </row>
    <row r="32" spans="1:23">
      <c r="A32" s="334">
        <v>19</v>
      </c>
      <c r="D32" s="335"/>
      <c r="F32" s="335"/>
      <c r="H32" s="335"/>
      <c r="K32" s="335"/>
      <c r="L32" s="335"/>
      <c r="M32" s="335"/>
      <c r="N32" s="335"/>
      <c r="O32" s="335"/>
      <c r="P32" s="335"/>
    </row>
    <row r="33" spans="1:21" ht="15.75" thickBot="1">
      <c r="A33" s="312">
        <v>20</v>
      </c>
      <c r="C33" s="247" t="s">
        <v>1212</v>
      </c>
      <c r="D33" s="695">
        <f>D14-D31</f>
        <v>22051844.399824917</v>
      </c>
      <c r="F33" s="695">
        <f>F14-F31</f>
        <v>1826915.0503836973</v>
      </c>
      <c r="H33" s="695">
        <f>H14-H31</f>
        <v>0</v>
      </c>
      <c r="K33" s="695">
        <f>K14-K31</f>
        <v>23878759.450208604</v>
      </c>
      <c r="L33" s="259"/>
      <c r="M33" s="695">
        <f>M14-M31</f>
        <v>1376697.045205079</v>
      </c>
      <c r="N33" s="259"/>
      <c r="O33" s="695">
        <f>O14-O31</f>
        <v>25255456.495413691</v>
      </c>
      <c r="P33" s="335"/>
      <c r="Q33" s="305"/>
      <c r="S33" s="305"/>
      <c r="T33" s="259"/>
      <c r="U33" s="259"/>
    </row>
    <row r="34" spans="1:21" ht="15.75" thickTop="1">
      <c r="A34" s="312"/>
      <c r="D34" s="259"/>
      <c r="F34" s="259"/>
      <c r="G34" s="259"/>
      <c r="H34" s="259"/>
      <c r="K34" s="307"/>
      <c r="L34" s="259"/>
      <c r="M34" s="307"/>
      <c r="N34" s="259"/>
      <c r="O34" s="259"/>
      <c r="P34" s="259"/>
      <c r="Q34" s="305"/>
      <c r="S34" s="305"/>
      <c r="T34" s="259"/>
      <c r="U34" s="259"/>
    </row>
    <row r="35" spans="1:21">
      <c r="A35" s="334"/>
      <c r="D35" s="345"/>
      <c r="F35" s="259"/>
      <c r="G35" s="259"/>
      <c r="H35" s="259"/>
      <c r="K35" s="345"/>
      <c r="L35" s="259"/>
      <c r="M35" s="305"/>
      <c r="N35" s="259"/>
      <c r="O35" s="345"/>
      <c r="P35" s="259"/>
    </row>
    <row r="36" spans="1:21">
      <c r="A36" s="334"/>
      <c r="C36" s="1019"/>
      <c r="D36" s="884"/>
      <c r="E36" s="883"/>
      <c r="F36" s="884"/>
      <c r="G36" s="884"/>
      <c r="H36" s="884"/>
      <c r="I36" s="883"/>
      <c r="J36" s="883"/>
      <c r="K36" s="884"/>
      <c r="L36" s="259"/>
      <c r="M36" s="391"/>
      <c r="N36" s="259"/>
      <c r="O36" s="345"/>
      <c r="P36" s="259"/>
    </row>
    <row r="37" spans="1:21">
      <c r="A37" s="334"/>
      <c r="C37" s="883"/>
      <c r="D37" s="1020"/>
      <c r="E37" s="883"/>
      <c r="F37" s="884"/>
      <c r="G37" s="884"/>
      <c r="H37" s="884"/>
      <c r="I37" s="883"/>
      <c r="J37" s="883"/>
      <c r="K37" s="1020"/>
      <c r="L37" s="259"/>
      <c r="M37" s="305"/>
      <c r="N37" s="259"/>
      <c r="O37" s="345"/>
      <c r="P37" s="259"/>
    </row>
    <row r="38" spans="1:21" s="347" customFormat="1">
      <c r="A38" s="312"/>
      <c r="B38" s="346"/>
      <c r="C38" s="1019"/>
      <c r="D38" s="884"/>
      <c r="E38" s="883"/>
      <c r="F38" s="884"/>
      <c r="G38" s="884"/>
      <c r="H38" s="884"/>
      <c r="I38" s="883"/>
      <c r="J38" s="883"/>
      <c r="K38" s="884"/>
      <c r="L38" s="348"/>
      <c r="N38" s="348"/>
      <c r="P38" s="348"/>
    </row>
    <row r="39" spans="1:21" s="347" customFormat="1">
      <c r="A39" s="349"/>
      <c r="B39" s="350"/>
      <c r="C39" s="1019"/>
      <c r="D39" s="884"/>
      <c r="E39" s="883"/>
      <c r="F39" s="884"/>
      <c r="G39" s="884"/>
      <c r="H39" s="884"/>
      <c r="I39" s="883"/>
      <c r="J39" s="883"/>
      <c r="K39" s="884"/>
      <c r="L39" s="348"/>
      <c r="M39" s="351"/>
      <c r="N39" s="348"/>
      <c r="O39" s="351"/>
      <c r="P39" s="348"/>
      <c r="T39" s="352"/>
    </row>
    <row r="40" spans="1:21" s="347" customFormat="1">
      <c r="D40" s="348"/>
      <c r="F40" s="348"/>
      <c r="G40" s="348"/>
      <c r="K40" s="348"/>
      <c r="L40" s="348"/>
      <c r="M40" s="884"/>
      <c r="N40" s="883"/>
    </row>
    <row r="41" spans="1:21">
      <c r="A41" s="347"/>
      <c r="B41" s="347"/>
      <c r="C41" s="347"/>
      <c r="D41" s="259"/>
      <c r="F41" s="259"/>
      <c r="G41" s="259"/>
      <c r="H41" s="305"/>
      <c r="K41" s="259"/>
      <c r="L41" s="259"/>
      <c r="M41" s="884"/>
      <c r="N41" s="884"/>
      <c r="O41" s="305"/>
      <c r="P41" s="259"/>
    </row>
    <row r="42" spans="1:21">
      <c r="A42" s="298"/>
      <c r="D42" s="259"/>
      <c r="F42" s="259"/>
      <c r="G42" s="259"/>
      <c r="K42" s="259"/>
      <c r="L42" s="259"/>
      <c r="M42" s="884"/>
      <c r="N42" s="884"/>
      <c r="P42" s="259"/>
      <c r="Q42" s="305"/>
      <c r="S42" s="305"/>
      <c r="T42" s="259"/>
      <c r="U42" s="259"/>
    </row>
    <row r="43" spans="1:21">
      <c r="A43" s="298"/>
      <c r="D43" s="259"/>
      <c r="F43" s="259"/>
      <c r="G43" s="259"/>
      <c r="H43" s="305"/>
      <c r="K43" s="259"/>
      <c r="L43" s="259"/>
      <c r="M43" s="263"/>
      <c r="N43" s="884"/>
      <c r="O43" s="305"/>
      <c r="P43" s="259"/>
      <c r="Q43" s="305"/>
      <c r="S43" s="305"/>
      <c r="T43" s="259"/>
      <c r="U43" s="259"/>
    </row>
    <row r="44" spans="1:21">
      <c r="A44" s="298"/>
      <c r="C44" s="298"/>
      <c r="D44" s="259"/>
      <c r="F44" s="259"/>
      <c r="G44" s="259"/>
      <c r="M44" s="1124"/>
      <c r="N44" s="883"/>
    </row>
    <row r="45" spans="1:21">
      <c r="A45" s="298"/>
      <c r="C45" s="298"/>
      <c r="D45" s="259"/>
      <c r="F45" s="259"/>
      <c r="G45" s="259"/>
    </row>
    <row r="46" spans="1:21">
      <c r="D46" s="259"/>
      <c r="F46" s="259"/>
      <c r="G46" s="259"/>
      <c r="K46" s="340"/>
      <c r="L46" s="340"/>
      <c r="N46" s="340"/>
      <c r="P46" s="340"/>
      <c r="T46" s="340"/>
    </row>
    <row r="47" spans="1:21">
      <c r="A47" s="298"/>
      <c r="D47" s="259"/>
      <c r="F47" s="259"/>
      <c r="G47" s="259"/>
    </row>
    <row r="48" spans="1:21">
      <c r="C48" s="331"/>
      <c r="E48" s="259"/>
      <c r="G48" s="259"/>
    </row>
    <row r="49" spans="1:23">
      <c r="A49" s="298"/>
      <c r="C49" s="298"/>
      <c r="E49" s="259"/>
      <c r="F49" s="305"/>
      <c r="G49" s="259"/>
      <c r="H49" s="305"/>
      <c r="K49" s="305"/>
      <c r="L49" s="335"/>
      <c r="M49" s="305"/>
      <c r="N49" s="335"/>
      <c r="O49" s="305"/>
      <c r="P49" s="335"/>
      <c r="Q49" s="305"/>
      <c r="S49" s="305"/>
      <c r="T49" s="259"/>
      <c r="V49" s="298"/>
    </row>
    <row r="50" spans="1:23">
      <c r="C50" s="298"/>
      <c r="D50" s="305"/>
      <c r="E50" s="259"/>
      <c r="F50" s="305"/>
      <c r="G50" s="259"/>
      <c r="H50" s="305"/>
      <c r="K50" s="305"/>
      <c r="L50" s="335"/>
      <c r="M50" s="305"/>
      <c r="N50" s="335"/>
      <c r="O50" s="305"/>
      <c r="P50" s="335"/>
      <c r="Q50" s="305"/>
      <c r="S50" s="305"/>
      <c r="T50" s="259"/>
    </row>
    <row r="51" spans="1:23">
      <c r="D51" s="305"/>
      <c r="V51" s="298"/>
    </row>
    <row r="52" spans="1:23">
      <c r="V52" s="335"/>
      <c r="W52" s="259"/>
    </row>
    <row r="53" spans="1:23">
      <c r="V53" s="335"/>
      <c r="W53" s="259"/>
    </row>
    <row r="56" spans="1:23">
      <c r="V56" s="340"/>
    </row>
    <row r="58" spans="1:23">
      <c r="S58" s="259"/>
      <c r="T58" s="259"/>
    </row>
    <row r="59" spans="1:23">
      <c r="E59" s="335"/>
      <c r="R59" s="335"/>
      <c r="S59" s="259"/>
      <c r="T59" s="259"/>
    </row>
    <row r="62" spans="1:23">
      <c r="R62" s="340"/>
    </row>
    <row r="63" spans="1:23">
      <c r="R63" s="335"/>
    </row>
    <row r="64" spans="1:23">
      <c r="R64" s="335"/>
    </row>
    <row r="65" spans="1:18">
      <c r="R65" s="335"/>
    </row>
    <row r="67" spans="1:18">
      <c r="A67" s="298"/>
    </row>
    <row r="68" spans="1:18">
      <c r="A68" s="298"/>
      <c r="C68" s="298"/>
      <c r="G68" s="340"/>
      <c r="I68" s="340"/>
      <c r="J68" s="340"/>
      <c r="L68" s="340"/>
      <c r="N68" s="340"/>
      <c r="P68" s="340"/>
      <c r="R68" s="340"/>
    </row>
    <row r="69" spans="1:18">
      <c r="G69" s="335"/>
      <c r="R69" s="335"/>
    </row>
    <row r="70" spans="1:18">
      <c r="A70" s="298"/>
    </row>
    <row r="71" spans="1:18">
      <c r="A71" s="298"/>
    </row>
    <row r="72" spans="1:18">
      <c r="A72" s="298"/>
    </row>
    <row r="73" spans="1:18">
      <c r="A73" s="298"/>
    </row>
    <row r="75" spans="1:18">
      <c r="A75" s="298"/>
    </row>
    <row r="76" spans="1:18">
      <c r="A76" s="298"/>
    </row>
    <row r="79" spans="1:18">
      <c r="A79" s="298"/>
    </row>
    <row r="80" spans="1:18">
      <c r="C80" s="298"/>
    </row>
    <row r="86" spans="7:18">
      <c r="G86" s="335"/>
      <c r="I86" s="335"/>
      <c r="J86" s="335"/>
      <c r="L86" s="335"/>
      <c r="N86" s="335"/>
      <c r="P86" s="335"/>
      <c r="R86" s="335"/>
    </row>
    <row r="87" spans="7:18">
      <c r="G87" s="335"/>
      <c r="I87" s="335"/>
      <c r="J87" s="335"/>
      <c r="L87" s="335"/>
      <c r="N87" s="335"/>
      <c r="P87" s="335"/>
      <c r="R87" s="335"/>
    </row>
    <row r="88" spans="7:18">
      <c r="G88" s="335"/>
      <c r="I88" s="335"/>
      <c r="J88" s="335"/>
      <c r="L88" s="335"/>
      <c r="N88" s="335"/>
      <c r="P88" s="335"/>
      <c r="R88" s="335"/>
    </row>
    <row r="89" spans="7:18">
      <c r="G89" s="335"/>
      <c r="I89" s="335"/>
      <c r="J89" s="335"/>
      <c r="L89" s="335"/>
      <c r="N89" s="335"/>
      <c r="P89" s="335"/>
      <c r="R89" s="335"/>
    </row>
    <row r="90" spans="7:18">
      <c r="G90" s="335"/>
      <c r="I90" s="335"/>
      <c r="J90" s="335"/>
      <c r="L90" s="335"/>
      <c r="N90" s="335"/>
      <c r="P90" s="335"/>
      <c r="R90" s="335"/>
    </row>
    <row r="91" spans="7:18">
      <c r="G91" s="335"/>
      <c r="I91" s="335"/>
      <c r="J91" s="335"/>
      <c r="L91" s="335"/>
      <c r="N91" s="335"/>
      <c r="P91" s="335"/>
      <c r="R91" s="335"/>
    </row>
    <row r="92" spans="7:18">
      <c r="G92" s="335"/>
      <c r="I92" s="335"/>
      <c r="J92" s="335"/>
      <c r="L92" s="335"/>
      <c r="N92" s="335"/>
      <c r="P92" s="335"/>
      <c r="R92" s="335"/>
    </row>
    <row r="93" spans="7:18">
      <c r="G93" s="335"/>
      <c r="I93" s="335"/>
      <c r="J93" s="335"/>
      <c r="L93" s="335"/>
      <c r="N93" s="335"/>
      <c r="P93" s="335"/>
      <c r="R93" s="335"/>
    </row>
    <row r="94" spans="7:18">
      <c r="G94" s="335"/>
      <c r="I94" s="335"/>
      <c r="J94" s="335"/>
      <c r="L94" s="335"/>
      <c r="N94" s="335"/>
      <c r="P94" s="335"/>
      <c r="R94" s="335"/>
    </row>
    <row r="95" spans="7:18">
      <c r="G95" s="335"/>
      <c r="I95" s="335"/>
      <c r="J95" s="335"/>
      <c r="L95" s="335"/>
      <c r="N95" s="335"/>
      <c r="P95" s="335"/>
      <c r="R95" s="335"/>
    </row>
  </sheetData>
  <mergeCells count="5">
    <mergeCell ref="A5:O5"/>
    <mergeCell ref="A1:O1"/>
    <mergeCell ref="A2:O2"/>
    <mergeCell ref="A3:O3"/>
    <mergeCell ref="A4:O4"/>
  </mergeCells>
  <phoneticPr fontId="24" type="noConversion"/>
  <printOptions horizontalCentered="1"/>
  <pageMargins left="0.38" right="0.5" top="0.75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5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F24" sqref="F24"/>
    </sheetView>
  </sheetViews>
  <sheetFormatPr defaultColWidth="8.44140625" defaultRowHeight="15.75" customHeight="1"/>
  <cols>
    <col min="1" max="1" width="4.77734375" style="89" customWidth="1"/>
    <col min="2" max="2" width="11.88671875" style="89" customWidth="1"/>
    <col min="3" max="3" width="49.109375" style="89" customWidth="1"/>
    <col min="4" max="4" width="13.109375" style="89" customWidth="1"/>
    <col min="5" max="5" width="7.21875" style="89" customWidth="1"/>
    <col min="6" max="6" width="11.44140625" style="89" bestFit="1" customWidth="1"/>
    <col min="7" max="7" width="10" style="89" bestFit="1" customWidth="1"/>
    <col min="8" max="8" width="10.21875" style="89" customWidth="1"/>
    <col min="9" max="16384" width="8.44140625" style="89"/>
  </cols>
  <sheetData>
    <row r="1" spans="1:7" ht="15.75" customHeight="1">
      <c r="A1" s="1260" t="str">
        <f>'Table of Contents'!A1:C1</f>
        <v>Atmos Energy Corporation, Kentucky/Mid-States Division</v>
      </c>
      <c r="B1" s="1260"/>
      <c r="C1" s="1260"/>
      <c r="D1" s="1260"/>
    </row>
    <row r="2" spans="1:7" ht="15.75" customHeight="1">
      <c r="A2" s="1260" t="str">
        <f>'Table of Contents'!A2:C2</f>
        <v>Kentucky Jurisdiction Case No. 2015-00343</v>
      </c>
      <c r="B2" s="1260"/>
      <c r="C2" s="1260"/>
      <c r="D2" s="1260"/>
    </row>
    <row r="3" spans="1:7" ht="15.75" customHeight="1">
      <c r="A3" s="1260" t="s">
        <v>1159</v>
      </c>
      <c r="B3" s="1260"/>
      <c r="C3" s="1260"/>
      <c r="D3" s="1260"/>
    </row>
    <row r="4" spans="1:7" ht="15.75" customHeight="1">
      <c r="A4" s="1260" t="str">
        <f>'Table of Contents'!A3:C3</f>
        <v>Base Period: Twelve Months Ended February 29, 2016</v>
      </c>
      <c r="B4" s="1260"/>
      <c r="C4" s="1260"/>
      <c r="D4" s="1260"/>
    </row>
    <row r="5" spans="1:7" ht="15.75" customHeight="1">
      <c r="A5" s="92"/>
      <c r="B5" s="92"/>
      <c r="C5" s="274"/>
      <c r="D5" s="274"/>
    </row>
    <row r="6" spans="1:7" ht="15.75" customHeight="1">
      <c r="A6" s="95" t="s">
        <v>59</v>
      </c>
      <c r="D6" s="656" t="s">
        <v>1523</v>
      </c>
    </row>
    <row r="7" spans="1:7" ht="15.75" customHeight="1">
      <c r="A7" s="4" t="s">
        <v>631</v>
      </c>
      <c r="D7" s="657" t="s">
        <v>729</v>
      </c>
    </row>
    <row r="8" spans="1:7" ht="15.75" customHeight="1">
      <c r="A8" s="317" t="s">
        <v>375</v>
      </c>
      <c r="B8" s="318"/>
      <c r="C8" s="318"/>
      <c r="D8" s="658" t="str">
        <f>C.1!J9</f>
        <v>Witness: Waller, Smith</v>
      </c>
    </row>
    <row r="9" spans="1:7" ht="15.75" customHeight="1">
      <c r="D9" s="353"/>
    </row>
    <row r="10" spans="1:7" ht="15.75" customHeight="1">
      <c r="A10" s="354" t="s">
        <v>98</v>
      </c>
      <c r="B10" s="353" t="s">
        <v>347</v>
      </c>
      <c r="C10" s="354" t="s">
        <v>347</v>
      </c>
      <c r="D10" s="353" t="s">
        <v>1005</v>
      </c>
    </row>
    <row r="11" spans="1:7" ht="15.75" customHeight="1">
      <c r="A11" s="355" t="s">
        <v>104</v>
      </c>
      <c r="B11" s="356" t="s">
        <v>1347</v>
      </c>
      <c r="C11" s="355" t="s">
        <v>222</v>
      </c>
      <c r="D11" s="356" t="s">
        <v>322</v>
      </c>
    </row>
    <row r="12" spans="1:7" ht="15.75" customHeight="1">
      <c r="D12" s="353" t="s">
        <v>1112</v>
      </c>
    </row>
    <row r="13" spans="1:7" ht="15.75" customHeight="1">
      <c r="A13" s="353">
        <v>1</v>
      </c>
      <c r="B13" s="357"/>
      <c r="C13" s="358" t="s">
        <v>70</v>
      </c>
    </row>
    <row r="14" spans="1:7" ht="15.75" customHeight="1">
      <c r="A14" s="353">
        <f>A13+1</f>
        <v>2</v>
      </c>
      <c r="B14" s="357"/>
      <c r="C14" s="358" t="s">
        <v>140</v>
      </c>
      <c r="D14" s="123"/>
    </row>
    <row r="15" spans="1:7" ht="15.75" customHeight="1">
      <c r="A15" s="353">
        <f t="shared" ref="A15:A84" si="0">A14+1</f>
        <v>3</v>
      </c>
      <c r="B15" s="703">
        <v>4800</v>
      </c>
      <c r="C15" s="359" t="s">
        <v>135</v>
      </c>
      <c r="D15" s="442">
        <f>-'C.2.2 B 09'!P17</f>
        <v>98207124.629063994</v>
      </c>
      <c r="F15" s="552"/>
      <c r="G15" s="552"/>
    </row>
    <row r="16" spans="1:7" ht="15.75" customHeight="1">
      <c r="A16" s="353">
        <f t="shared" si="0"/>
        <v>4</v>
      </c>
      <c r="B16" s="943">
        <v>4805</v>
      </c>
      <c r="C16" s="944" t="s">
        <v>1354</v>
      </c>
      <c r="D16" s="455">
        <f>-'C.2.2 B 09'!P18</f>
        <v>-6787293.5899999999</v>
      </c>
      <c r="F16" s="552"/>
      <c r="G16" s="552"/>
    </row>
    <row r="17" spans="1:8" ht="15.75" customHeight="1">
      <c r="A17" s="353">
        <f t="shared" si="0"/>
        <v>5</v>
      </c>
      <c r="B17" s="943">
        <v>4811</v>
      </c>
      <c r="C17" s="944" t="s">
        <v>136</v>
      </c>
      <c r="D17" s="455">
        <f>-'C.2.2 B 09'!P19</f>
        <v>40950740.394301347</v>
      </c>
      <c r="F17" s="552"/>
      <c r="G17" s="552"/>
    </row>
    <row r="18" spans="1:8" ht="15.75" customHeight="1">
      <c r="A18" s="353">
        <f t="shared" si="0"/>
        <v>6</v>
      </c>
      <c r="B18" s="943">
        <v>4812</v>
      </c>
      <c r="C18" s="944" t="s">
        <v>137</v>
      </c>
      <c r="D18" s="455">
        <f>-'C.2.2 B 09'!P20</f>
        <v>5451325.746213723</v>
      </c>
      <c r="F18" s="552"/>
      <c r="G18" s="552"/>
    </row>
    <row r="19" spans="1:8" ht="15.75" customHeight="1">
      <c r="A19" s="353">
        <f t="shared" si="0"/>
        <v>7</v>
      </c>
      <c r="B19" s="943">
        <v>4815</v>
      </c>
      <c r="C19" s="944" t="s">
        <v>1355</v>
      </c>
      <c r="D19" s="455">
        <f>-'C.2.2 B 09'!P21</f>
        <v>-2972320.01</v>
      </c>
      <c r="F19" s="552"/>
      <c r="G19" s="552"/>
    </row>
    <row r="20" spans="1:8" ht="15.75" customHeight="1">
      <c r="A20" s="353">
        <f t="shared" si="0"/>
        <v>8</v>
      </c>
      <c r="B20" s="943">
        <v>4816</v>
      </c>
      <c r="C20" s="944" t="s">
        <v>1402</v>
      </c>
      <c r="D20" s="455">
        <f>-'C.2.2 B 09'!P22</f>
        <v>-114797.31</v>
      </c>
      <c r="F20" s="552"/>
      <c r="G20" s="552"/>
    </row>
    <row r="21" spans="1:8" ht="15.75" customHeight="1">
      <c r="A21" s="353">
        <f t="shared" si="0"/>
        <v>9</v>
      </c>
      <c r="B21" s="943">
        <v>4820</v>
      </c>
      <c r="C21" s="944" t="s">
        <v>795</v>
      </c>
      <c r="D21" s="455">
        <f>-'C.2.2 B 09'!P23</f>
        <v>7553488.8796820827</v>
      </c>
      <c r="F21" s="552"/>
      <c r="G21" s="552"/>
    </row>
    <row r="22" spans="1:8" ht="15.75" customHeight="1">
      <c r="A22" s="353">
        <f t="shared" si="0"/>
        <v>10</v>
      </c>
      <c r="B22" s="943">
        <v>4825</v>
      </c>
      <c r="C22" s="944" t="s">
        <v>1356</v>
      </c>
      <c r="D22" s="456">
        <f>-'C.2.2 B 09'!P24</f>
        <v>-629193.38</v>
      </c>
      <c r="F22" s="552"/>
      <c r="G22" s="552"/>
    </row>
    <row r="23" spans="1:8" ht="15.75" customHeight="1">
      <c r="A23" s="353">
        <f t="shared" si="0"/>
        <v>11</v>
      </c>
      <c r="B23" s="353"/>
      <c r="C23" s="354" t="s">
        <v>1176</v>
      </c>
      <c r="D23" s="442">
        <f>SUM(D15:D22)</f>
        <v>141659075.35926118</v>
      </c>
    </row>
    <row r="24" spans="1:8" ht="15.75" customHeight="1">
      <c r="A24" s="353">
        <f t="shared" si="0"/>
        <v>12</v>
      </c>
      <c r="B24" s="353"/>
      <c r="D24" s="123"/>
    </row>
    <row r="25" spans="1:8" ht="15.75" customHeight="1">
      <c r="A25" s="353">
        <f t="shared" si="0"/>
        <v>13</v>
      </c>
      <c r="B25" s="704"/>
      <c r="C25" s="358" t="s">
        <v>69</v>
      </c>
      <c r="D25" s="613"/>
    </row>
    <row r="26" spans="1:8" ht="15.75" customHeight="1">
      <c r="A26" s="353">
        <f t="shared" si="0"/>
        <v>14</v>
      </c>
      <c r="B26" s="703">
        <v>4870</v>
      </c>
      <c r="C26" s="359" t="s">
        <v>1032</v>
      </c>
      <c r="D26" s="442">
        <f>-'C.2.2 B 09'!P25</f>
        <v>1230383.6535251739</v>
      </c>
    </row>
    <row r="27" spans="1:8" ht="15.75" customHeight="1">
      <c r="A27" s="353">
        <f t="shared" si="0"/>
        <v>15</v>
      </c>
      <c r="B27" s="703">
        <v>4880</v>
      </c>
      <c r="C27" s="359" t="s">
        <v>1033</v>
      </c>
      <c r="D27" s="455">
        <f>-'C.2.2 B 09'!P26</f>
        <v>796529.01</v>
      </c>
    </row>
    <row r="28" spans="1:8" ht="15.75" customHeight="1">
      <c r="A28" s="353">
        <f t="shared" si="0"/>
        <v>16</v>
      </c>
      <c r="B28" s="705">
        <v>4893</v>
      </c>
      <c r="C28" s="362" t="s">
        <v>68</v>
      </c>
      <c r="D28" s="455">
        <f>-'C.2.2 B 09'!P27</f>
        <v>14819845.18675</v>
      </c>
      <c r="F28" s="783"/>
    </row>
    <row r="29" spans="1:8" ht="15.75" customHeight="1">
      <c r="A29" s="353">
        <f t="shared" si="0"/>
        <v>17</v>
      </c>
      <c r="B29" s="703">
        <v>4950</v>
      </c>
      <c r="C29" s="359" t="s">
        <v>678</v>
      </c>
      <c r="D29" s="455">
        <f>-'C.2.2 B 09'!P28</f>
        <v>1366066.4424999999</v>
      </c>
      <c r="F29" s="123"/>
      <c r="G29" s="123"/>
      <c r="H29" s="783"/>
    </row>
    <row r="30" spans="1:8" ht="15.75" customHeight="1">
      <c r="A30" s="353">
        <f t="shared" si="0"/>
        <v>18</v>
      </c>
      <c r="B30" s="704"/>
      <c r="C30" s="354" t="s">
        <v>1177</v>
      </c>
      <c r="D30" s="970">
        <f>SUM(D26:D29)</f>
        <v>18212824.292775173</v>
      </c>
    </row>
    <row r="31" spans="1:8" ht="15.75" customHeight="1">
      <c r="A31" s="353">
        <f t="shared" si="0"/>
        <v>19</v>
      </c>
      <c r="B31" s="704"/>
      <c r="D31" s="613"/>
      <c r="F31" s="972"/>
      <c r="G31" s="123"/>
    </row>
    <row r="32" spans="1:8" ht="15.75" customHeight="1">
      <c r="A32" s="353">
        <f t="shared" si="0"/>
        <v>20</v>
      </c>
      <c r="B32" s="353"/>
      <c r="C32" s="354" t="s">
        <v>71</v>
      </c>
      <c r="D32" s="442">
        <f>D23+D30</f>
        <v>159871899.65203637</v>
      </c>
      <c r="E32" s="363"/>
      <c r="F32" s="123"/>
      <c r="G32" s="123"/>
      <c r="H32" s="783"/>
    </row>
    <row r="33" spans="1:7" ht="15.75" customHeight="1">
      <c r="A33" s="353">
        <f t="shared" si="0"/>
        <v>21</v>
      </c>
      <c r="B33" s="704"/>
      <c r="D33" s="613"/>
      <c r="F33" s="123"/>
      <c r="G33" s="123"/>
    </row>
    <row r="34" spans="1:7" ht="15.75" customHeight="1">
      <c r="A34" s="353">
        <f t="shared" si="0"/>
        <v>22</v>
      </c>
      <c r="B34" s="704"/>
      <c r="C34" s="358" t="s">
        <v>310</v>
      </c>
      <c r="D34" s="613"/>
    </row>
    <row r="35" spans="1:7" ht="15.75" customHeight="1">
      <c r="A35" s="353">
        <f t="shared" si="0"/>
        <v>23</v>
      </c>
      <c r="B35" s="704"/>
      <c r="C35" s="364" t="s">
        <v>677</v>
      </c>
      <c r="D35" s="520"/>
    </row>
    <row r="36" spans="1:7" ht="15.75" customHeight="1">
      <c r="A36" s="353">
        <f t="shared" si="0"/>
        <v>24</v>
      </c>
      <c r="B36" s="706">
        <v>7560</v>
      </c>
      <c r="C36" s="359" t="s">
        <v>335</v>
      </c>
      <c r="D36" s="614">
        <f>'C.2.2 B 09'!P29</f>
        <v>97.508702239093509</v>
      </c>
    </row>
    <row r="37" spans="1:7" ht="15.75" customHeight="1">
      <c r="A37" s="353">
        <f t="shared" si="0"/>
        <v>25</v>
      </c>
      <c r="B37" s="706">
        <v>7590</v>
      </c>
      <c r="C37" s="359" t="s">
        <v>1401</v>
      </c>
      <c r="D37" s="456">
        <f>'C.2.2 B 09'!P30</f>
        <v>0</v>
      </c>
    </row>
    <row r="38" spans="1:7" ht="15.75" customHeight="1">
      <c r="A38" s="353">
        <f t="shared" si="0"/>
        <v>26</v>
      </c>
      <c r="B38" s="704"/>
      <c r="C38" s="365" t="s">
        <v>450</v>
      </c>
      <c r="D38" s="442">
        <f>SUM(D36:D37)</f>
        <v>97.508702239093509</v>
      </c>
    </row>
    <row r="39" spans="1:7" ht="15.75" customHeight="1">
      <c r="A39" s="353">
        <f t="shared" si="0"/>
        <v>27</v>
      </c>
      <c r="B39" s="704"/>
      <c r="C39" s="365"/>
      <c r="D39" s="442"/>
    </row>
    <row r="40" spans="1:7" ht="15.75" customHeight="1">
      <c r="A40" s="353">
        <f t="shared" si="0"/>
        <v>28</v>
      </c>
      <c r="B40" s="704"/>
      <c r="C40" s="364" t="s">
        <v>1160</v>
      </c>
      <c r="D40" s="455"/>
    </row>
    <row r="41" spans="1:7" ht="15.75" customHeight="1">
      <c r="A41" s="353">
        <f t="shared" si="0"/>
        <v>29</v>
      </c>
      <c r="B41" s="706">
        <v>7610</v>
      </c>
      <c r="C41" s="359" t="s">
        <v>1161</v>
      </c>
      <c r="D41" s="652">
        <v>0</v>
      </c>
    </row>
    <row r="42" spans="1:7" ht="15.75" customHeight="1">
      <c r="A42" s="353">
        <f t="shared" si="0"/>
        <v>30</v>
      </c>
      <c r="B42" s="704"/>
      <c r="C42" s="95"/>
      <c r="D42" s="442">
        <f>SUM(D41)</f>
        <v>0</v>
      </c>
    </row>
    <row r="43" spans="1:7" ht="15.75" customHeight="1">
      <c r="A43" s="353">
        <f t="shared" si="0"/>
        <v>31</v>
      </c>
      <c r="B43" s="704"/>
      <c r="C43" s="364" t="s">
        <v>1044</v>
      </c>
      <c r="D43" s="520"/>
    </row>
    <row r="44" spans="1:7" ht="15.75" customHeight="1">
      <c r="A44" s="353">
        <f t="shared" si="0"/>
        <v>32</v>
      </c>
      <c r="B44" s="706">
        <v>8140</v>
      </c>
      <c r="C44" s="359" t="s">
        <v>687</v>
      </c>
      <c r="D44" s="653">
        <f>'C.2.2 B 09'!P46</f>
        <v>-293.22558970371978</v>
      </c>
    </row>
    <row r="45" spans="1:7" ht="15.75" customHeight="1">
      <c r="A45" s="353">
        <f t="shared" si="0"/>
        <v>33</v>
      </c>
      <c r="B45" s="706">
        <v>8150</v>
      </c>
      <c r="C45" s="359" t="s">
        <v>302</v>
      </c>
      <c r="D45" s="614">
        <v>0</v>
      </c>
    </row>
    <row r="46" spans="1:7" ht="15.75" customHeight="1">
      <c r="A46" s="353">
        <f t="shared" si="0"/>
        <v>34</v>
      </c>
      <c r="B46" s="706">
        <v>8160</v>
      </c>
      <c r="C46" s="359" t="s">
        <v>522</v>
      </c>
      <c r="D46" s="614">
        <f>'C.2.2 B 09'!P47</f>
        <v>95658.498736967915</v>
      </c>
    </row>
    <row r="47" spans="1:7" ht="15.75" customHeight="1">
      <c r="A47" s="353">
        <f t="shared" si="0"/>
        <v>35</v>
      </c>
      <c r="B47" s="706">
        <v>8170</v>
      </c>
      <c r="C47" s="359" t="s">
        <v>523</v>
      </c>
      <c r="D47" s="614">
        <f>'C.2.2 B 09'!P48</f>
        <v>36987.207044918017</v>
      </c>
    </row>
    <row r="48" spans="1:7" ht="15.75" customHeight="1">
      <c r="A48" s="353">
        <f t="shared" si="0"/>
        <v>36</v>
      </c>
      <c r="B48" s="706">
        <v>8180</v>
      </c>
      <c r="C48" s="359" t="s">
        <v>149</v>
      </c>
      <c r="D48" s="614">
        <f>'C.2.2 B 09'!P49</f>
        <v>27287.909578191509</v>
      </c>
    </row>
    <row r="49" spans="1:4" ht="15.75" customHeight="1">
      <c r="A49" s="353">
        <f t="shared" si="0"/>
        <v>37</v>
      </c>
      <c r="B49" s="707">
        <v>8190</v>
      </c>
      <c r="C49" s="366" t="s">
        <v>150</v>
      </c>
      <c r="D49" s="614">
        <f>'C.2.2 B 09'!P50</f>
        <v>766.79321818353617</v>
      </c>
    </row>
    <row r="50" spans="1:4" ht="15.75" customHeight="1">
      <c r="A50" s="353">
        <f t="shared" si="0"/>
        <v>38</v>
      </c>
      <c r="B50" s="707">
        <v>8200</v>
      </c>
      <c r="C50" s="366" t="s">
        <v>490</v>
      </c>
      <c r="D50" s="614">
        <f>'C.2.2 B 09'!P51</f>
        <v>2891.6737903019375</v>
      </c>
    </row>
    <row r="51" spans="1:4" ht="15.75" customHeight="1">
      <c r="A51" s="353">
        <f t="shared" si="0"/>
        <v>39</v>
      </c>
      <c r="B51" s="707">
        <v>8210</v>
      </c>
      <c r="C51" s="366" t="s">
        <v>491</v>
      </c>
      <c r="D51" s="614">
        <f>'C.2.2 B 09'!P52</f>
        <v>49076.54180949743</v>
      </c>
    </row>
    <row r="52" spans="1:4" ht="15.75" customHeight="1">
      <c r="A52" s="353">
        <f t="shared" si="0"/>
        <v>40</v>
      </c>
      <c r="B52" s="707">
        <v>8240</v>
      </c>
      <c r="C52" s="366" t="s">
        <v>600</v>
      </c>
      <c r="D52" s="614">
        <f>'C.2.2 B 09'!P53</f>
        <v>1397.6331672799963</v>
      </c>
    </row>
    <row r="53" spans="1:4" ht="15.75" customHeight="1">
      <c r="A53" s="353">
        <f t="shared" si="0"/>
        <v>41</v>
      </c>
      <c r="B53" s="707">
        <v>8250</v>
      </c>
      <c r="C53" s="366" t="s">
        <v>653</v>
      </c>
      <c r="D53" s="456">
        <f>'C.2.2 B 09'!P54</f>
        <v>8589.4005238101036</v>
      </c>
    </row>
    <row r="54" spans="1:4" ht="15.75" customHeight="1">
      <c r="A54" s="353">
        <f t="shared" si="0"/>
        <v>42</v>
      </c>
      <c r="B54" s="704"/>
      <c r="C54" s="365" t="s">
        <v>1045</v>
      </c>
      <c r="D54" s="442">
        <f>SUM(D44:D53)</f>
        <v>222362.43227944669</v>
      </c>
    </row>
    <row r="55" spans="1:4" ht="15.75" customHeight="1">
      <c r="A55" s="353">
        <f t="shared" si="0"/>
        <v>43</v>
      </c>
      <c r="B55" s="704"/>
      <c r="C55" s="95"/>
      <c r="D55" s="455"/>
    </row>
    <row r="56" spans="1:4" ht="15.75" customHeight="1">
      <c r="A56" s="353">
        <f t="shared" si="0"/>
        <v>44</v>
      </c>
      <c r="B56" s="704"/>
      <c r="C56" s="364" t="s">
        <v>1031</v>
      </c>
      <c r="D56" s="455"/>
    </row>
    <row r="57" spans="1:4" ht="15.75" customHeight="1">
      <c r="A57" s="353">
        <f t="shared" si="0"/>
        <v>45</v>
      </c>
      <c r="B57" s="707">
        <v>8310</v>
      </c>
      <c r="C57" s="366" t="s">
        <v>654</v>
      </c>
      <c r="D57" s="653">
        <f>'C.2.2 B 09'!P55</f>
        <v>4134.987636044435</v>
      </c>
    </row>
    <row r="58" spans="1:4" ht="15.75" customHeight="1">
      <c r="A58" s="353">
        <f t="shared" si="0"/>
        <v>46</v>
      </c>
      <c r="B58" s="707">
        <v>8320</v>
      </c>
      <c r="C58" s="366" t="s">
        <v>655</v>
      </c>
      <c r="D58" s="614">
        <v>0</v>
      </c>
    </row>
    <row r="59" spans="1:4" ht="15.75" customHeight="1">
      <c r="A59" s="353">
        <f t="shared" si="0"/>
        <v>47</v>
      </c>
      <c r="B59" s="707">
        <v>8340</v>
      </c>
      <c r="C59" s="366" t="s">
        <v>656</v>
      </c>
      <c r="D59" s="614">
        <f>'C.2.2 B 09'!P56</f>
        <v>3306.5601619777976</v>
      </c>
    </row>
    <row r="60" spans="1:4" ht="15.75" customHeight="1">
      <c r="A60" s="353">
        <f t="shared" si="0"/>
        <v>48</v>
      </c>
      <c r="B60" s="707">
        <v>8350</v>
      </c>
      <c r="C60" s="366" t="s">
        <v>657</v>
      </c>
      <c r="D60" s="614">
        <f>'C.2.2 B 09'!P57</f>
        <v>2428.3798467142192</v>
      </c>
    </row>
    <row r="61" spans="1:4" ht="15.75" customHeight="1">
      <c r="A61" s="353">
        <f t="shared" si="0"/>
        <v>49</v>
      </c>
      <c r="B61" s="707">
        <v>8360</v>
      </c>
      <c r="C61" s="366" t="s">
        <v>1060</v>
      </c>
      <c r="D61" s="614">
        <f>'C.2.2 B 09'!P58</f>
        <v>247.95867076704832</v>
      </c>
    </row>
    <row r="62" spans="1:4" ht="15.75" customHeight="1">
      <c r="A62" s="353">
        <f t="shared" si="0"/>
        <v>50</v>
      </c>
      <c r="B62" s="707">
        <v>8370</v>
      </c>
      <c r="C62" s="366" t="s">
        <v>1386</v>
      </c>
      <c r="D62" s="614">
        <f>'C.2.2 B 09'!P59</f>
        <v>0</v>
      </c>
    </row>
    <row r="63" spans="1:4" ht="15.75" customHeight="1">
      <c r="A63" s="353">
        <f t="shared" si="0"/>
        <v>51</v>
      </c>
      <c r="B63" s="708" t="s">
        <v>303</v>
      </c>
      <c r="C63" s="366" t="s">
        <v>461</v>
      </c>
      <c r="D63" s="614">
        <f>'C.2.2 B 09'!P60</f>
        <v>129928.23603452992</v>
      </c>
    </row>
    <row r="64" spans="1:4" ht="15.75" customHeight="1">
      <c r="A64" s="353">
        <f t="shared" si="0"/>
        <v>52</v>
      </c>
      <c r="B64" s="704"/>
      <c r="C64" s="365" t="s">
        <v>1046</v>
      </c>
      <c r="D64" s="970">
        <f>SUM(D57:D63)</f>
        <v>140046.12235003343</v>
      </c>
    </row>
    <row r="65" spans="1:7" ht="15.75" customHeight="1">
      <c r="A65" s="353">
        <f t="shared" si="0"/>
        <v>53</v>
      </c>
      <c r="B65" s="704"/>
      <c r="C65" s="95"/>
      <c r="D65" s="455"/>
    </row>
    <row r="66" spans="1:7" ht="15.75" customHeight="1">
      <c r="A66" s="353">
        <f t="shared" si="0"/>
        <v>54</v>
      </c>
      <c r="B66" s="704"/>
      <c r="C66" s="364" t="s">
        <v>1047</v>
      </c>
      <c r="D66" s="455"/>
    </row>
    <row r="67" spans="1:7" ht="15.75" customHeight="1">
      <c r="A67" s="353">
        <f t="shared" si="0"/>
        <v>55</v>
      </c>
      <c r="B67" s="707">
        <v>8500</v>
      </c>
      <c r="C67" s="366" t="s">
        <v>687</v>
      </c>
      <c r="D67" s="653">
        <v>0</v>
      </c>
    </row>
    <row r="68" spans="1:7" ht="15.75" customHeight="1">
      <c r="A68" s="353">
        <f t="shared" si="0"/>
        <v>56</v>
      </c>
      <c r="B68" s="707">
        <v>8520</v>
      </c>
      <c r="C68" s="366" t="s">
        <v>1387</v>
      </c>
      <c r="D68" s="614">
        <f>'C.2.2 B 09'!P61</f>
        <v>0</v>
      </c>
      <c r="G68" s="1068"/>
    </row>
    <row r="69" spans="1:7" ht="15.75" customHeight="1">
      <c r="A69" s="353">
        <f t="shared" si="0"/>
        <v>57</v>
      </c>
      <c r="B69" s="707">
        <v>8550</v>
      </c>
      <c r="C69" s="366" t="s">
        <v>1464</v>
      </c>
      <c r="D69" s="614">
        <f>'C.2.2 B 09'!P62</f>
        <v>55.301854638960194</v>
      </c>
      <c r="G69" s="1068"/>
    </row>
    <row r="70" spans="1:7" ht="15.75" customHeight="1">
      <c r="A70" s="353">
        <f t="shared" si="0"/>
        <v>58</v>
      </c>
      <c r="B70" s="707">
        <v>8560</v>
      </c>
      <c r="C70" s="366" t="s">
        <v>658</v>
      </c>
      <c r="D70" s="614">
        <f>'C.2.2 B 09'!P63</f>
        <v>316656.97825095349</v>
      </c>
    </row>
    <row r="71" spans="1:7" ht="15.75" customHeight="1">
      <c r="A71" s="353">
        <f t="shared" si="0"/>
        <v>59</v>
      </c>
      <c r="B71" s="707">
        <v>8570</v>
      </c>
      <c r="C71" s="366" t="s">
        <v>659</v>
      </c>
      <c r="D71" s="614">
        <f>'C.2.2 B 09'!P64</f>
        <v>34521.182853303595</v>
      </c>
    </row>
    <row r="72" spans="1:7" ht="15.75" customHeight="1">
      <c r="A72" s="353">
        <f t="shared" si="0"/>
        <v>60</v>
      </c>
      <c r="B72" s="707">
        <v>8590</v>
      </c>
      <c r="C72" s="366" t="s">
        <v>662</v>
      </c>
      <c r="D72" s="614">
        <v>0</v>
      </c>
    </row>
    <row r="73" spans="1:7" ht="15.75" customHeight="1">
      <c r="A73" s="353">
        <f t="shared" si="0"/>
        <v>61</v>
      </c>
      <c r="B73" s="707">
        <v>8600</v>
      </c>
      <c r="C73" s="366" t="s">
        <v>786</v>
      </c>
      <c r="D73" s="456">
        <v>0</v>
      </c>
    </row>
    <row r="74" spans="1:7" ht="15.75" customHeight="1">
      <c r="A74" s="353">
        <f t="shared" si="0"/>
        <v>62</v>
      </c>
      <c r="B74" s="704"/>
      <c r="C74" s="365" t="s">
        <v>1023</v>
      </c>
      <c r="D74" s="442">
        <f>SUM(D67:D73)</f>
        <v>351233.46295889607</v>
      </c>
    </row>
    <row r="75" spans="1:7" ht="15.75" customHeight="1">
      <c r="A75" s="353">
        <f t="shared" si="0"/>
        <v>63</v>
      </c>
      <c r="B75" s="704"/>
      <c r="C75" s="95"/>
      <c r="D75" s="455"/>
    </row>
    <row r="76" spans="1:7" ht="15.75" customHeight="1">
      <c r="A76" s="353">
        <f t="shared" si="0"/>
        <v>64</v>
      </c>
      <c r="B76" s="704"/>
      <c r="C76" s="364" t="s">
        <v>1024</v>
      </c>
      <c r="D76" s="455"/>
    </row>
    <row r="77" spans="1:7" ht="15.75" customHeight="1">
      <c r="A77" s="353">
        <f t="shared" si="0"/>
        <v>65</v>
      </c>
      <c r="B77" s="707">
        <v>8620</v>
      </c>
      <c r="C77" s="366" t="s">
        <v>988</v>
      </c>
      <c r="D77" s="653">
        <v>0</v>
      </c>
    </row>
    <row r="78" spans="1:7" ht="15.75" customHeight="1">
      <c r="A78" s="353">
        <f t="shared" si="0"/>
        <v>66</v>
      </c>
      <c r="B78" s="707">
        <v>8630</v>
      </c>
      <c r="C78" s="366" t="s">
        <v>521</v>
      </c>
      <c r="D78" s="614">
        <f>'C.2.2 B 09'!P65</f>
        <v>5912.3313289077478</v>
      </c>
    </row>
    <row r="79" spans="1:7" ht="15.75" customHeight="1">
      <c r="A79" s="353">
        <f t="shared" si="0"/>
        <v>67</v>
      </c>
      <c r="B79" s="707">
        <v>8640</v>
      </c>
      <c r="C79" s="366" t="s">
        <v>607</v>
      </c>
      <c r="D79" s="614">
        <f>'C.2.2 B 09'!P66</f>
        <v>0</v>
      </c>
    </row>
    <row r="80" spans="1:7" ht="15.75" customHeight="1">
      <c r="A80" s="353">
        <f t="shared" si="0"/>
        <v>68</v>
      </c>
      <c r="B80" s="707">
        <v>8650</v>
      </c>
      <c r="C80" s="366" t="s">
        <v>660</v>
      </c>
      <c r="D80" s="614">
        <f>'C.2.2 B 09'!P67</f>
        <v>5807.7109373173216</v>
      </c>
    </row>
    <row r="81" spans="1:5" ht="15.75" customHeight="1">
      <c r="A81" s="353">
        <f t="shared" si="0"/>
        <v>69</v>
      </c>
      <c r="B81" s="707">
        <v>8670</v>
      </c>
      <c r="C81" s="366" t="s">
        <v>661</v>
      </c>
      <c r="D81" s="456">
        <v>0</v>
      </c>
    </row>
    <row r="82" spans="1:5" ht="15.75" customHeight="1">
      <c r="A82" s="353">
        <f t="shared" si="0"/>
        <v>70</v>
      </c>
      <c r="B82" s="704"/>
      <c r="C82" s="365" t="s">
        <v>1025</v>
      </c>
      <c r="D82" s="442">
        <f>SUM(D77:D81)</f>
        <v>11720.042266225069</v>
      </c>
    </row>
    <row r="83" spans="1:5" ht="15.75" customHeight="1">
      <c r="A83" s="353">
        <f t="shared" si="0"/>
        <v>71</v>
      </c>
      <c r="B83" s="704"/>
      <c r="C83" s="95"/>
      <c r="D83" s="455"/>
    </row>
    <row r="84" spans="1:5" ht="15.75" customHeight="1">
      <c r="A84" s="353">
        <f t="shared" si="0"/>
        <v>72</v>
      </c>
      <c r="B84" s="704"/>
      <c r="C84" s="364" t="s">
        <v>336</v>
      </c>
      <c r="D84" s="613"/>
    </row>
    <row r="85" spans="1:5" ht="15.75" customHeight="1">
      <c r="A85" s="353">
        <f t="shared" ref="A85:A148" si="1">A84+1</f>
        <v>73</v>
      </c>
      <c r="B85" s="703">
        <v>8001</v>
      </c>
      <c r="C85" s="359" t="s">
        <v>885</v>
      </c>
      <c r="D85" s="653">
        <f>'C.2.2 B 09'!P31</f>
        <v>1207337.5727112212</v>
      </c>
      <c r="E85" s="396"/>
    </row>
    <row r="86" spans="1:5" ht="15.75" customHeight="1">
      <c r="A86" s="353">
        <f t="shared" si="1"/>
        <v>74</v>
      </c>
      <c r="B86" s="703">
        <v>8010</v>
      </c>
      <c r="C86" s="119" t="s">
        <v>1233</v>
      </c>
      <c r="D86" s="614">
        <f>'C.2.2 B 09'!P32</f>
        <v>73124.253536187593</v>
      </c>
      <c r="E86" s="396"/>
    </row>
    <row r="87" spans="1:5" ht="15.75" customHeight="1">
      <c r="A87" s="353">
        <f t="shared" si="1"/>
        <v>75</v>
      </c>
      <c r="B87" s="703">
        <v>8040</v>
      </c>
      <c r="C87" s="354" t="s">
        <v>311</v>
      </c>
      <c r="D87" s="614">
        <f>'C.2.2 B 09'!P33</f>
        <v>48444810.552938133</v>
      </c>
      <c r="E87" s="396"/>
    </row>
    <row r="88" spans="1:5" ht="15.75" customHeight="1">
      <c r="A88" s="353">
        <f t="shared" si="1"/>
        <v>76</v>
      </c>
      <c r="B88" s="703">
        <v>8045</v>
      </c>
      <c r="C88" s="354" t="s">
        <v>1158</v>
      </c>
      <c r="D88" s="614">
        <v>0</v>
      </c>
      <c r="E88" s="396"/>
    </row>
    <row r="89" spans="1:5" ht="15.75" customHeight="1">
      <c r="A89" s="353">
        <f t="shared" si="1"/>
        <v>77</v>
      </c>
      <c r="B89" s="703">
        <v>8050</v>
      </c>
      <c r="C89" s="359" t="s">
        <v>927</v>
      </c>
      <c r="D89" s="614">
        <f>'C.2.2 B 09'!P34</f>
        <v>25371.019352147079</v>
      </c>
      <c r="E89" s="396"/>
    </row>
    <row r="90" spans="1:5" ht="15.75" customHeight="1">
      <c r="A90" s="353">
        <f t="shared" si="1"/>
        <v>78</v>
      </c>
      <c r="B90" s="703">
        <v>8051</v>
      </c>
      <c r="C90" s="354" t="s">
        <v>828</v>
      </c>
      <c r="D90" s="614">
        <f>'C.2.2 B 09'!P35</f>
        <v>48107712.135673694</v>
      </c>
      <c r="E90" s="396"/>
    </row>
    <row r="91" spans="1:5" ht="15.75" customHeight="1">
      <c r="A91" s="353">
        <f t="shared" si="1"/>
        <v>79</v>
      </c>
      <c r="B91" s="703">
        <v>8052</v>
      </c>
      <c r="C91" s="354" t="s">
        <v>435</v>
      </c>
      <c r="D91" s="614">
        <f>'C.2.2 B 09'!P36</f>
        <v>23500811.830648404</v>
      </c>
      <c r="E91" s="396"/>
    </row>
    <row r="92" spans="1:5" ht="15.75" customHeight="1">
      <c r="A92" s="353">
        <f t="shared" si="1"/>
        <v>80</v>
      </c>
      <c r="B92" s="703">
        <v>8053</v>
      </c>
      <c r="C92" s="354" t="s">
        <v>852</v>
      </c>
      <c r="D92" s="614">
        <f>'C.2.2 B 09'!P37</f>
        <v>4376451.0302729206</v>
      </c>
      <c r="E92" s="396"/>
    </row>
    <row r="93" spans="1:5" ht="15.75" customHeight="1">
      <c r="A93" s="353">
        <f t="shared" si="1"/>
        <v>81</v>
      </c>
      <c r="B93" s="703">
        <v>8054</v>
      </c>
      <c r="C93" s="354" t="s">
        <v>853</v>
      </c>
      <c r="D93" s="614">
        <f>'C.2.2 B 09'!P38</f>
        <v>5036796.9057672285</v>
      </c>
      <c r="E93" s="396"/>
    </row>
    <row r="94" spans="1:5" ht="15.75" customHeight="1">
      <c r="A94" s="353">
        <f t="shared" si="1"/>
        <v>82</v>
      </c>
      <c r="B94" s="703">
        <v>8057</v>
      </c>
      <c r="C94" s="354" t="s">
        <v>286</v>
      </c>
      <c r="D94" s="614">
        <v>0</v>
      </c>
      <c r="E94" s="396"/>
    </row>
    <row r="95" spans="1:5" ht="15.75" customHeight="1">
      <c r="A95" s="353">
        <f t="shared" si="1"/>
        <v>83</v>
      </c>
      <c r="B95" s="703">
        <v>8058</v>
      </c>
      <c r="C95" s="354" t="s">
        <v>287</v>
      </c>
      <c r="D95" s="614">
        <f>'C.2.2 B 09'!P39</f>
        <v>-3978837.4889111212</v>
      </c>
      <c r="E95" s="396"/>
    </row>
    <row r="96" spans="1:5" ht="15.75" customHeight="1">
      <c r="A96" s="353">
        <f t="shared" si="1"/>
        <v>84</v>
      </c>
      <c r="B96" s="703">
        <v>8059</v>
      </c>
      <c r="C96" s="354" t="s">
        <v>288</v>
      </c>
      <c r="D96" s="614">
        <f>'C.2.2 B 09'!P40</f>
        <v>-73591574.776836872</v>
      </c>
      <c r="E96" s="396"/>
    </row>
    <row r="97" spans="1:6" ht="15.75" customHeight="1">
      <c r="A97" s="353">
        <f t="shared" si="1"/>
        <v>85</v>
      </c>
      <c r="B97" s="703">
        <v>8060</v>
      </c>
      <c r="C97" s="354" t="s">
        <v>1026</v>
      </c>
      <c r="D97" s="614">
        <f>'C.2.2 B 09'!P41</f>
        <v>-631677.70387688209</v>
      </c>
      <c r="E97" s="396"/>
    </row>
    <row r="98" spans="1:6" ht="15.75" customHeight="1">
      <c r="A98" s="353">
        <f t="shared" si="1"/>
        <v>86</v>
      </c>
      <c r="B98" s="703">
        <v>8081</v>
      </c>
      <c r="C98" s="354" t="s">
        <v>289</v>
      </c>
      <c r="D98" s="614">
        <f>'C.2.2 B 09'!P42</f>
        <v>19570719.344022617</v>
      </c>
      <c r="E98" s="396"/>
    </row>
    <row r="99" spans="1:6" ht="15.75" customHeight="1">
      <c r="A99" s="353">
        <f t="shared" si="1"/>
        <v>87</v>
      </c>
      <c r="B99" s="703">
        <v>8082</v>
      </c>
      <c r="C99" s="354" t="s">
        <v>72</v>
      </c>
      <c r="D99" s="614">
        <f>'C.2.2 B 09'!P43</f>
        <v>-14127369.62939862</v>
      </c>
      <c r="E99" s="396"/>
    </row>
    <row r="100" spans="1:6" ht="15.75" customHeight="1">
      <c r="A100" s="353">
        <f t="shared" si="1"/>
        <v>88</v>
      </c>
      <c r="B100" s="703">
        <v>8110</v>
      </c>
      <c r="C100" s="354" t="s">
        <v>1234</v>
      </c>
      <c r="D100" s="614">
        <v>0</v>
      </c>
      <c r="E100" s="396"/>
    </row>
    <row r="101" spans="1:6" ht="15.75" customHeight="1">
      <c r="A101" s="353">
        <f t="shared" si="1"/>
        <v>89</v>
      </c>
      <c r="B101" s="703">
        <v>8120</v>
      </c>
      <c r="C101" s="354" t="s">
        <v>1042</v>
      </c>
      <c r="D101" s="614">
        <f>'C.2.2 B 09'!P44</f>
        <v>-9913.5440659948435</v>
      </c>
      <c r="E101" s="396"/>
    </row>
    <row r="102" spans="1:6" ht="15.75" customHeight="1">
      <c r="A102" s="353">
        <f t="shared" si="1"/>
        <v>90</v>
      </c>
      <c r="B102" s="703">
        <v>8130</v>
      </c>
      <c r="C102" s="354" t="s">
        <v>1042</v>
      </c>
      <c r="D102" s="614">
        <v>0</v>
      </c>
      <c r="E102" s="396"/>
    </row>
    <row r="103" spans="1:6" ht="15.75" customHeight="1">
      <c r="A103" s="353">
        <f t="shared" si="1"/>
        <v>91</v>
      </c>
      <c r="B103" s="703">
        <v>8580</v>
      </c>
      <c r="C103" s="354" t="s">
        <v>1232</v>
      </c>
      <c r="D103" s="456">
        <f>'C.2.2 B 09'!P45</f>
        <v>19029259.36755209</v>
      </c>
      <c r="E103" s="396"/>
      <c r="F103" s="771"/>
    </row>
    <row r="104" spans="1:6" ht="15.75" customHeight="1">
      <c r="A104" s="353">
        <f t="shared" si="1"/>
        <v>92</v>
      </c>
      <c r="B104" s="704"/>
      <c r="C104" s="367" t="s">
        <v>1043</v>
      </c>
      <c r="D104" s="442">
        <f>SUM(D85:D103)</f>
        <v>77033020.869385153</v>
      </c>
      <c r="F104" s="113"/>
    </row>
    <row r="105" spans="1:6" ht="15.75" customHeight="1">
      <c r="A105" s="353">
        <f t="shared" si="1"/>
        <v>93</v>
      </c>
      <c r="B105" s="704"/>
      <c r="D105" s="520"/>
    </row>
    <row r="106" spans="1:6" ht="15.75" customHeight="1">
      <c r="A106" s="353">
        <f t="shared" si="1"/>
        <v>94</v>
      </c>
      <c r="B106" s="704"/>
      <c r="C106" s="364" t="s">
        <v>1070</v>
      </c>
      <c r="D106" s="520"/>
    </row>
    <row r="107" spans="1:6" ht="15.75" customHeight="1">
      <c r="A107" s="353">
        <f t="shared" si="1"/>
        <v>95</v>
      </c>
      <c r="B107" s="703">
        <v>8700</v>
      </c>
      <c r="C107" s="359" t="s">
        <v>663</v>
      </c>
      <c r="D107" s="653">
        <f>'C.2.2 B 09'!P68</f>
        <v>1183789.4569059813</v>
      </c>
    </row>
    <row r="108" spans="1:6" ht="15.75" customHeight="1">
      <c r="A108" s="353">
        <f t="shared" si="1"/>
        <v>96</v>
      </c>
      <c r="B108" s="703">
        <v>8710</v>
      </c>
      <c r="C108" s="359" t="s">
        <v>664</v>
      </c>
      <c r="D108" s="614">
        <f>'C.2.2 B 09'!P69</f>
        <v>1954.0543321693435</v>
      </c>
    </row>
    <row r="109" spans="1:6" ht="15.75" customHeight="1">
      <c r="A109" s="353">
        <f t="shared" si="1"/>
        <v>97</v>
      </c>
      <c r="B109" s="703">
        <v>8711</v>
      </c>
      <c r="C109" s="354" t="s">
        <v>354</v>
      </c>
      <c r="D109" s="614">
        <f>'C.2.2 B 09'!P70</f>
        <v>10649.634147097708</v>
      </c>
    </row>
    <row r="110" spans="1:6" ht="15.75" customHeight="1">
      <c r="A110" s="353">
        <f t="shared" si="1"/>
        <v>98</v>
      </c>
      <c r="B110" s="703">
        <v>8720</v>
      </c>
      <c r="C110" s="359" t="s">
        <v>980</v>
      </c>
      <c r="D110" s="614">
        <f>'C.2.2 B 09'!P71</f>
        <v>0</v>
      </c>
    </row>
    <row r="111" spans="1:6" ht="15.75" customHeight="1">
      <c r="A111" s="353">
        <f t="shared" si="1"/>
        <v>99</v>
      </c>
      <c r="B111" s="703">
        <v>8740</v>
      </c>
      <c r="C111" s="359" t="s">
        <v>981</v>
      </c>
      <c r="D111" s="614">
        <f>'C.2.2 B 09'!P72</f>
        <v>3723991.9424460223</v>
      </c>
    </row>
    <row r="112" spans="1:6" ht="15.75" customHeight="1">
      <c r="A112" s="353">
        <f t="shared" si="1"/>
        <v>100</v>
      </c>
      <c r="B112" s="703">
        <v>8750</v>
      </c>
      <c r="C112" s="359" t="s">
        <v>985</v>
      </c>
      <c r="D112" s="614">
        <f>'C.2.2 B 09'!P73</f>
        <v>398999.7802270184</v>
      </c>
    </row>
    <row r="113" spans="1:4" ht="15.75" customHeight="1">
      <c r="A113" s="353">
        <f t="shared" si="1"/>
        <v>101</v>
      </c>
      <c r="B113" s="703">
        <v>8760</v>
      </c>
      <c r="C113" s="359" t="s">
        <v>986</v>
      </c>
      <c r="D113" s="614">
        <f>'C.2.2 B 09'!P74</f>
        <v>33534.792112589414</v>
      </c>
    </row>
    <row r="114" spans="1:4" ht="15.75" customHeight="1">
      <c r="A114" s="353">
        <f t="shared" si="1"/>
        <v>102</v>
      </c>
      <c r="B114" s="703">
        <v>8770</v>
      </c>
      <c r="C114" s="359" t="s">
        <v>987</v>
      </c>
      <c r="D114" s="614">
        <f>'C.2.2 B 09'!P75</f>
        <v>124129.98170099156</v>
      </c>
    </row>
    <row r="115" spans="1:4" ht="15.75" customHeight="1">
      <c r="A115" s="353">
        <f t="shared" si="1"/>
        <v>103</v>
      </c>
      <c r="B115" s="703">
        <v>8780</v>
      </c>
      <c r="C115" s="359" t="s">
        <v>982</v>
      </c>
      <c r="D115" s="614">
        <f>'C.2.2 B 09'!P76</f>
        <v>890856.00637317088</v>
      </c>
    </row>
    <row r="116" spans="1:4" ht="15.75" customHeight="1">
      <c r="A116" s="353">
        <f t="shared" si="1"/>
        <v>104</v>
      </c>
      <c r="B116" s="703">
        <v>8790</v>
      </c>
      <c r="C116" s="359" t="s">
        <v>983</v>
      </c>
      <c r="D116" s="614">
        <f>'C.2.2 B 09'!P77</f>
        <v>752.17633517265062</v>
      </c>
    </row>
    <row r="117" spans="1:4" ht="15.75" customHeight="1">
      <c r="A117" s="353">
        <f t="shared" si="1"/>
        <v>105</v>
      </c>
      <c r="B117" s="703">
        <v>8800</v>
      </c>
      <c r="C117" s="359" t="s">
        <v>984</v>
      </c>
      <c r="D117" s="614">
        <f>'C.2.2 B 09'!P78</f>
        <v>208474.55496439827</v>
      </c>
    </row>
    <row r="118" spans="1:4" ht="15.75" customHeight="1">
      <c r="A118" s="353">
        <f t="shared" si="1"/>
        <v>106</v>
      </c>
      <c r="B118" s="703">
        <v>8810</v>
      </c>
      <c r="C118" s="359" t="s">
        <v>786</v>
      </c>
      <c r="D118" s="456">
        <f>'C.2.2 B 09'!P79</f>
        <v>445054.48448687675</v>
      </c>
    </row>
    <row r="119" spans="1:4" ht="15.75" customHeight="1">
      <c r="A119" s="353">
        <f t="shared" si="1"/>
        <v>107</v>
      </c>
      <c r="B119" s="704"/>
      <c r="C119" s="365" t="s">
        <v>675</v>
      </c>
      <c r="D119" s="442">
        <f>SUM(D107:D118)</f>
        <v>7022186.864031489</v>
      </c>
    </row>
    <row r="120" spans="1:4" ht="15.75" customHeight="1">
      <c r="A120" s="353">
        <f t="shared" si="1"/>
        <v>108</v>
      </c>
      <c r="B120" s="704"/>
      <c r="C120" s="95"/>
      <c r="D120" s="455"/>
    </row>
    <row r="121" spans="1:4" ht="15.75" customHeight="1">
      <c r="A121" s="353">
        <f t="shared" si="1"/>
        <v>109</v>
      </c>
      <c r="B121" s="353"/>
      <c r="C121" s="364" t="s">
        <v>676</v>
      </c>
      <c r="D121" s="613"/>
    </row>
    <row r="122" spans="1:4" ht="15.75" customHeight="1">
      <c r="A122" s="353">
        <f t="shared" si="1"/>
        <v>110</v>
      </c>
      <c r="B122" s="703">
        <v>8850</v>
      </c>
      <c r="C122" s="359" t="s">
        <v>663</v>
      </c>
      <c r="D122" s="653">
        <f>'C.2.2 B 09'!P80</f>
        <v>1964.0799531830269</v>
      </c>
    </row>
    <row r="123" spans="1:4" ht="15.75" customHeight="1">
      <c r="A123" s="353">
        <f t="shared" si="1"/>
        <v>111</v>
      </c>
      <c r="B123" s="703">
        <v>8860</v>
      </c>
      <c r="C123" s="359" t="s">
        <v>988</v>
      </c>
      <c r="D123" s="614">
        <f>'C.2.2 B 09'!P81</f>
        <v>23371.440168923371</v>
      </c>
    </row>
    <row r="124" spans="1:4" ht="15.75" customHeight="1">
      <c r="A124" s="353">
        <f t="shared" si="1"/>
        <v>112</v>
      </c>
      <c r="B124" s="703">
        <v>8870</v>
      </c>
      <c r="C124" s="359" t="s">
        <v>521</v>
      </c>
      <c r="D124" s="614">
        <f>'C.2.2 B 09'!P82</f>
        <v>46025.738609885331</v>
      </c>
    </row>
    <row r="125" spans="1:4" ht="15.75" customHeight="1">
      <c r="A125" s="353">
        <f t="shared" si="1"/>
        <v>113</v>
      </c>
      <c r="B125" s="703">
        <v>8890</v>
      </c>
      <c r="C125" s="359" t="s">
        <v>985</v>
      </c>
      <c r="D125" s="614">
        <f>'C.2.2 B 09'!P83</f>
        <v>6698.4222182973017</v>
      </c>
    </row>
    <row r="126" spans="1:4" ht="15.75" customHeight="1">
      <c r="A126" s="353">
        <f t="shared" si="1"/>
        <v>114</v>
      </c>
      <c r="B126" s="703">
        <v>8900</v>
      </c>
      <c r="C126" s="359" t="s">
        <v>986</v>
      </c>
      <c r="D126" s="614">
        <f>'C.2.2 B 09'!P84</f>
        <v>10625.971851677408</v>
      </c>
    </row>
    <row r="127" spans="1:4" ht="15.75" customHeight="1">
      <c r="A127" s="353">
        <f t="shared" si="1"/>
        <v>115</v>
      </c>
      <c r="B127" s="703">
        <v>8910</v>
      </c>
      <c r="C127" s="359" t="s">
        <v>987</v>
      </c>
      <c r="D127" s="614">
        <f>'C.2.2 B 09'!P85</f>
        <v>25851.91570686315</v>
      </c>
    </row>
    <row r="128" spans="1:4" ht="15.75" customHeight="1">
      <c r="A128" s="353">
        <f t="shared" si="1"/>
        <v>116</v>
      </c>
      <c r="B128" s="703">
        <v>8920</v>
      </c>
      <c r="C128" s="359" t="s">
        <v>1072</v>
      </c>
      <c r="D128" s="614">
        <f>'C.2.2 B 09'!P86</f>
        <v>3575.2200263111527</v>
      </c>
    </row>
    <row r="129" spans="1:5" ht="15.75" customHeight="1">
      <c r="A129" s="353">
        <f t="shared" si="1"/>
        <v>117</v>
      </c>
      <c r="B129" s="703">
        <v>8930</v>
      </c>
      <c r="C129" s="359" t="s">
        <v>989</v>
      </c>
      <c r="D129" s="614">
        <f>'C.2.2 B 09'!P87</f>
        <v>105360.86137928165</v>
      </c>
    </row>
    <row r="130" spans="1:5" ht="15.75" customHeight="1">
      <c r="A130" s="353">
        <f t="shared" si="1"/>
        <v>118</v>
      </c>
      <c r="B130" s="703">
        <v>8940</v>
      </c>
      <c r="C130" s="359" t="s">
        <v>661</v>
      </c>
      <c r="D130" s="614">
        <f>'C.2.2 B 09'!P88</f>
        <v>72160.107789682326</v>
      </c>
    </row>
    <row r="131" spans="1:5" ht="15.75" customHeight="1">
      <c r="A131" s="353">
        <f t="shared" si="1"/>
        <v>119</v>
      </c>
      <c r="B131" s="703">
        <v>8950</v>
      </c>
      <c r="C131" s="359" t="s">
        <v>301</v>
      </c>
      <c r="D131" s="456">
        <v>0</v>
      </c>
    </row>
    <row r="132" spans="1:5" ht="15.75" customHeight="1">
      <c r="A132" s="353">
        <f t="shared" si="1"/>
        <v>120</v>
      </c>
      <c r="B132" s="704"/>
      <c r="C132" s="365" t="s">
        <v>436</v>
      </c>
      <c r="D132" s="442">
        <f>SUM(D122:D131)</f>
        <v>295633.7577041047</v>
      </c>
    </row>
    <row r="133" spans="1:5" ht="15.75" customHeight="1">
      <c r="A133" s="353">
        <f t="shared" si="1"/>
        <v>121</v>
      </c>
      <c r="B133" s="704"/>
      <c r="C133" s="365"/>
      <c r="D133" s="455"/>
    </row>
    <row r="134" spans="1:5" ht="15.75" customHeight="1">
      <c r="A134" s="353">
        <f t="shared" si="1"/>
        <v>122</v>
      </c>
      <c r="B134" s="353"/>
      <c r="C134" s="364" t="s">
        <v>437</v>
      </c>
      <c r="D134" s="613"/>
    </row>
    <row r="135" spans="1:5" ht="15.75" customHeight="1">
      <c r="A135" s="353">
        <f t="shared" si="1"/>
        <v>123</v>
      </c>
      <c r="B135" s="703">
        <v>9010</v>
      </c>
      <c r="C135" s="359" t="s">
        <v>493</v>
      </c>
      <c r="D135" s="653">
        <v>0</v>
      </c>
    </row>
    <row r="136" spans="1:5" ht="15.75" customHeight="1">
      <c r="A136" s="353">
        <f t="shared" si="1"/>
        <v>124</v>
      </c>
      <c r="B136" s="703">
        <v>9020</v>
      </c>
      <c r="C136" s="359" t="s">
        <v>682</v>
      </c>
      <c r="D136" s="614">
        <f>'C.2.2 B 09'!P89</f>
        <v>1202767.575172228</v>
      </c>
    </row>
    <row r="137" spans="1:5" ht="15.75" customHeight="1">
      <c r="A137" s="353">
        <f t="shared" si="1"/>
        <v>125</v>
      </c>
      <c r="B137" s="703">
        <v>9030</v>
      </c>
      <c r="C137" s="359" t="s">
        <v>990</v>
      </c>
      <c r="D137" s="614">
        <f>'C.2.2 B 09'!P90</f>
        <v>379869.58454602241</v>
      </c>
    </row>
    <row r="138" spans="1:5" ht="15.75" customHeight="1">
      <c r="A138" s="353">
        <f t="shared" si="1"/>
        <v>126</v>
      </c>
      <c r="B138" s="703">
        <v>9040</v>
      </c>
      <c r="C138" s="359" t="s">
        <v>683</v>
      </c>
      <c r="D138" s="456">
        <f>'C.2.2 B 09'!P91</f>
        <v>564321.71039999998</v>
      </c>
      <c r="E138" s="757"/>
    </row>
    <row r="139" spans="1:5" ht="15.75" customHeight="1">
      <c r="A139" s="353">
        <f t="shared" si="1"/>
        <v>127</v>
      </c>
      <c r="B139" s="353"/>
      <c r="C139" s="365" t="s">
        <v>559</v>
      </c>
      <c r="D139" s="442">
        <f>SUM(D135:D138)</f>
        <v>2146958.8701182501</v>
      </c>
    </row>
    <row r="140" spans="1:5" ht="15.75" customHeight="1">
      <c r="A140" s="353">
        <f t="shared" si="1"/>
        <v>128</v>
      </c>
      <c r="B140" s="704"/>
      <c r="C140" s="365"/>
      <c r="D140" s="455"/>
    </row>
    <row r="141" spans="1:5" ht="15.75" customHeight="1">
      <c r="A141" s="353">
        <f t="shared" si="1"/>
        <v>129</v>
      </c>
      <c r="B141" s="704"/>
      <c r="C141" s="364" t="s">
        <v>560</v>
      </c>
      <c r="D141" s="520"/>
    </row>
    <row r="142" spans="1:5" ht="15.75" customHeight="1">
      <c r="A142" s="353">
        <f t="shared" si="1"/>
        <v>130</v>
      </c>
      <c r="B142" s="703">
        <v>9070</v>
      </c>
      <c r="C142" s="359" t="s">
        <v>493</v>
      </c>
      <c r="D142" s="653">
        <v>0</v>
      </c>
    </row>
    <row r="143" spans="1:5" ht="15.75" customHeight="1">
      <c r="A143" s="353">
        <f t="shared" si="1"/>
        <v>131</v>
      </c>
      <c r="B143" s="703">
        <v>9080</v>
      </c>
      <c r="C143" s="359" t="s">
        <v>681</v>
      </c>
      <c r="D143" s="614">
        <v>0</v>
      </c>
    </row>
    <row r="144" spans="1:5" ht="15.75" customHeight="1">
      <c r="A144" s="353">
        <f t="shared" si="1"/>
        <v>132</v>
      </c>
      <c r="B144" s="703">
        <v>9090</v>
      </c>
      <c r="C144" s="359" t="s">
        <v>680</v>
      </c>
      <c r="D144" s="614">
        <f>'C.2.2 B 09'!P92</f>
        <v>125152.43264437889</v>
      </c>
    </row>
    <row r="145" spans="1:4" ht="15.75" customHeight="1">
      <c r="A145" s="353">
        <f t="shared" si="1"/>
        <v>133</v>
      </c>
      <c r="B145" s="703">
        <v>9100</v>
      </c>
      <c r="C145" s="359" t="s">
        <v>466</v>
      </c>
      <c r="D145" s="456">
        <f>'C.2.2 B 09'!P93</f>
        <v>183.78356405221172</v>
      </c>
    </row>
    <row r="146" spans="1:4" ht="15.75" customHeight="1">
      <c r="A146" s="353">
        <f t="shared" si="1"/>
        <v>134</v>
      </c>
      <c r="B146" s="353"/>
      <c r="C146" s="365" t="s">
        <v>873</v>
      </c>
      <c r="D146" s="442">
        <f>SUM(D142:D145)</f>
        <v>125336.2162084311</v>
      </c>
    </row>
    <row r="147" spans="1:4" ht="15.75" customHeight="1">
      <c r="A147" s="353">
        <f t="shared" si="1"/>
        <v>135</v>
      </c>
      <c r="B147" s="353"/>
      <c r="C147" s="357"/>
      <c r="D147" s="613"/>
    </row>
    <row r="148" spans="1:4" ht="15.75" customHeight="1">
      <c r="A148" s="353">
        <f t="shared" si="1"/>
        <v>136</v>
      </c>
      <c r="B148" s="353"/>
      <c r="C148" s="364" t="s">
        <v>509</v>
      </c>
      <c r="D148" s="613"/>
    </row>
    <row r="149" spans="1:4" ht="15.75" customHeight="1">
      <c r="A149" s="353">
        <f t="shared" ref="A149:A181" si="2">A148+1</f>
        <v>137</v>
      </c>
      <c r="B149" s="703">
        <v>9110</v>
      </c>
      <c r="C149" s="359" t="s">
        <v>493</v>
      </c>
      <c r="D149" s="653">
        <f>'C.2.2 B 09'!P94</f>
        <v>257746.70503193676</v>
      </c>
    </row>
    <row r="150" spans="1:4" ht="15.75" customHeight="1">
      <c r="A150" s="353">
        <f t="shared" si="2"/>
        <v>138</v>
      </c>
      <c r="B150" s="703">
        <v>9120</v>
      </c>
      <c r="C150" s="359" t="s">
        <v>787</v>
      </c>
      <c r="D150" s="614">
        <f>'C.2.2 B 09'!P95</f>
        <v>56174.592297134361</v>
      </c>
    </row>
    <row r="151" spans="1:4" ht="15.75" customHeight="1">
      <c r="A151" s="353">
        <f t="shared" si="2"/>
        <v>139</v>
      </c>
      <c r="B151" s="703">
        <v>9130</v>
      </c>
      <c r="C151" s="359" t="s">
        <v>870</v>
      </c>
      <c r="D151" s="614">
        <f>'C.2.2 B 09'!P96</f>
        <v>23114.350742867809</v>
      </c>
    </row>
    <row r="152" spans="1:4" ht="15.75" customHeight="1">
      <c r="A152" s="353">
        <f t="shared" si="2"/>
        <v>140</v>
      </c>
      <c r="B152" s="703">
        <v>9160</v>
      </c>
      <c r="C152" s="359" t="s">
        <v>854</v>
      </c>
      <c r="D152" s="456">
        <v>0</v>
      </c>
    </row>
    <row r="153" spans="1:4" ht="15.75" customHeight="1">
      <c r="A153" s="353">
        <f t="shared" si="2"/>
        <v>141</v>
      </c>
      <c r="B153" s="353"/>
      <c r="C153" s="365" t="s">
        <v>1135</v>
      </c>
      <c r="D153" s="442">
        <f>SUM(D149:D152)</f>
        <v>337035.64807193889</v>
      </c>
    </row>
    <row r="154" spans="1:4" ht="15.75" customHeight="1">
      <c r="A154" s="353">
        <f t="shared" si="2"/>
        <v>142</v>
      </c>
      <c r="B154" s="704"/>
      <c r="D154" s="613"/>
    </row>
    <row r="155" spans="1:4" ht="15.75" customHeight="1">
      <c r="A155" s="353">
        <f t="shared" si="2"/>
        <v>143</v>
      </c>
      <c r="B155" s="353"/>
      <c r="C155" s="364" t="s">
        <v>1136</v>
      </c>
      <c r="D155" s="613"/>
    </row>
    <row r="156" spans="1:4" ht="15.75" customHeight="1">
      <c r="A156" s="353">
        <f t="shared" si="2"/>
        <v>144</v>
      </c>
      <c r="B156" s="703">
        <v>9200</v>
      </c>
      <c r="C156" s="359" t="s">
        <v>778</v>
      </c>
      <c r="D156" s="653">
        <f>'C.2.2 B 09'!P97</f>
        <v>134097.63307528791</v>
      </c>
    </row>
    <row r="157" spans="1:4" ht="15.75" customHeight="1">
      <c r="A157" s="353">
        <f t="shared" si="2"/>
        <v>145</v>
      </c>
      <c r="B157" s="703">
        <v>9210</v>
      </c>
      <c r="C157" s="359" t="s">
        <v>779</v>
      </c>
      <c r="D157" s="614">
        <f>'C.2.2 B 09'!P98</f>
        <v>7609.9836462125641</v>
      </c>
    </row>
    <row r="158" spans="1:4" ht="15.75" customHeight="1">
      <c r="A158" s="353">
        <f t="shared" si="2"/>
        <v>146</v>
      </c>
      <c r="B158" s="703">
        <v>9220</v>
      </c>
      <c r="C158" s="359" t="s">
        <v>780</v>
      </c>
      <c r="D158" s="614">
        <f>'C.2.2 B 09'!P99</f>
        <v>13070219.117788246</v>
      </c>
    </row>
    <row r="159" spans="1:4" ht="15.75" customHeight="1">
      <c r="A159" s="353">
        <f t="shared" si="2"/>
        <v>147</v>
      </c>
      <c r="B159" s="703">
        <v>9230</v>
      </c>
      <c r="C159" s="359" t="s">
        <v>781</v>
      </c>
      <c r="D159" s="614">
        <f>'C.2.2 B 09'!P100</f>
        <v>201632.49667933921</v>
      </c>
    </row>
    <row r="160" spans="1:4" ht="15.75" customHeight="1">
      <c r="A160" s="353">
        <f t="shared" si="2"/>
        <v>148</v>
      </c>
      <c r="B160" s="703">
        <v>9240</v>
      </c>
      <c r="C160" s="359" t="s">
        <v>317</v>
      </c>
      <c r="D160" s="614">
        <f>'C.2.2 B 09'!P101</f>
        <v>84990.611116541942</v>
      </c>
    </row>
    <row r="161" spans="1:7" ht="15.75" customHeight="1">
      <c r="A161" s="353">
        <f t="shared" si="2"/>
        <v>149</v>
      </c>
      <c r="B161" s="703">
        <v>9250</v>
      </c>
      <c r="C161" s="359" t="s">
        <v>782</v>
      </c>
      <c r="D161" s="614">
        <f>'C.2.2 B 09'!P102</f>
        <v>232180.71802061409</v>
      </c>
    </row>
    <row r="162" spans="1:7" ht="15.75" customHeight="1">
      <c r="A162" s="353">
        <f t="shared" si="2"/>
        <v>150</v>
      </c>
      <c r="B162" s="703">
        <v>9260</v>
      </c>
      <c r="C162" s="359" t="s">
        <v>784</v>
      </c>
      <c r="D162" s="614">
        <f>'C.2.2 B 09'!P103</f>
        <v>2194043.9592287075</v>
      </c>
    </row>
    <row r="163" spans="1:7" ht="15.75" customHeight="1">
      <c r="A163" s="353">
        <f t="shared" si="2"/>
        <v>151</v>
      </c>
      <c r="B163" s="703">
        <v>9270</v>
      </c>
      <c r="C163" s="359" t="s">
        <v>318</v>
      </c>
      <c r="D163" s="614">
        <f>'C.2.2 B 09'!P104</f>
        <v>386.17244583493357</v>
      </c>
    </row>
    <row r="164" spans="1:7" ht="15.75" customHeight="1">
      <c r="A164" s="353">
        <f t="shared" si="2"/>
        <v>152</v>
      </c>
      <c r="B164" s="703">
        <v>9280</v>
      </c>
      <c r="C164" s="359" t="s">
        <v>785</v>
      </c>
      <c r="D164" s="614">
        <f>'C.2.2 B 09'!P105</f>
        <v>11737.380528926924</v>
      </c>
    </row>
    <row r="165" spans="1:7" ht="15.75" customHeight="1">
      <c r="A165" s="353">
        <f t="shared" si="2"/>
        <v>153</v>
      </c>
      <c r="B165" s="709">
        <v>930.2</v>
      </c>
      <c r="C165" s="359" t="s">
        <v>319</v>
      </c>
      <c r="D165" s="614">
        <f>'C.2.2 B 09'!P106</f>
        <v>42277.978065082491</v>
      </c>
    </row>
    <row r="166" spans="1:7" ht="15.75" customHeight="1">
      <c r="A166" s="353">
        <f t="shared" si="2"/>
        <v>154</v>
      </c>
      <c r="B166" s="703">
        <v>9310</v>
      </c>
      <c r="C166" s="359" t="s">
        <v>189</v>
      </c>
      <c r="D166" s="652">
        <f>'C.2.2 B 09'!P107</f>
        <v>13647.466015270216</v>
      </c>
    </row>
    <row r="167" spans="1:7" ht="15.75" customHeight="1">
      <c r="A167" s="353">
        <f t="shared" si="2"/>
        <v>155</v>
      </c>
      <c r="B167" s="353"/>
      <c r="C167" s="365" t="s">
        <v>777</v>
      </c>
      <c r="D167" s="442">
        <f>SUM(D156:D166)</f>
        <v>15992823.516610064</v>
      </c>
    </row>
    <row r="168" spans="1:7" ht="15.75" customHeight="1">
      <c r="A168" s="353">
        <f t="shared" si="2"/>
        <v>156</v>
      </c>
      <c r="B168" s="353"/>
      <c r="C168" s="357"/>
      <c r="D168" s="613"/>
    </row>
    <row r="169" spans="1:7" ht="15.75" customHeight="1">
      <c r="A169" s="353">
        <f t="shared" si="2"/>
        <v>157</v>
      </c>
      <c r="B169" s="353"/>
      <c r="C169" s="364" t="s">
        <v>788</v>
      </c>
      <c r="D169" s="613"/>
    </row>
    <row r="170" spans="1:7" ht="15.75" customHeight="1">
      <c r="A170" s="353">
        <f t="shared" si="2"/>
        <v>158</v>
      </c>
      <c r="B170" s="703">
        <v>9320</v>
      </c>
      <c r="C170" s="359" t="s">
        <v>876</v>
      </c>
      <c r="D170" s="652">
        <f>'C.2.2 B 09'!P108</f>
        <v>2010.2359013780328</v>
      </c>
    </row>
    <row r="171" spans="1:7" ht="15.75" customHeight="1">
      <c r="A171" s="353">
        <f t="shared" si="2"/>
        <v>159</v>
      </c>
      <c r="B171" s="353"/>
      <c r="C171" s="365" t="s">
        <v>749</v>
      </c>
      <c r="D171" s="654">
        <f>SUM(D170:D170)</f>
        <v>2010.2359013780328</v>
      </c>
    </row>
    <row r="172" spans="1:7" ht="15.75" customHeight="1">
      <c r="A172" s="353">
        <f t="shared" si="2"/>
        <v>160</v>
      </c>
      <c r="B172" s="704"/>
      <c r="D172" s="520"/>
    </row>
    <row r="173" spans="1:7" ht="15.75" customHeight="1">
      <c r="A173" s="353">
        <f t="shared" si="2"/>
        <v>161</v>
      </c>
      <c r="B173" s="353"/>
      <c r="C173" s="358" t="s">
        <v>338</v>
      </c>
      <c r="D173" s="655">
        <f>+D38+D42+D54+D64+D74+D82+D104+D119+D132+D139+D146+D153+D167+D171</f>
        <v>103680465.54658766</v>
      </c>
      <c r="G173" s="123"/>
    </row>
    <row r="174" spans="1:7" ht="15.75" customHeight="1">
      <c r="A174" s="353">
        <f t="shared" si="2"/>
        <v>162</v>
      </c>
      <c r="B174" s="704"/>
      <c r="D174" s="520"/>
    </row>
    <row r="175" spans="1:7" ht="15.75" customHeight="1">
      <c r="A175" s="353">
        <f t="shared" si="2"/>
        <v>163</v>
      </c>
      <c r="B175" s="353" t="s">
        <v>320</v>
      </c>
      <c r="C175" s="354" t="s">
        <v>685</v>
      </c>
      <c r="D175" s="654">
        <f>SUM('C.2.2 B 09'!P14:P15)</f>
        <v>18252729.938099388</v>
      </c>
    </row>
    <row r="176" spans="1:7" ht="15.75" customHeight="1">
      <c r="A176" s="353">
        <f t="shared" si="2"/>
        <v>164</v>
      </c>
      <c r="B176" s="703">
        <v>4081</v>
      </c>
      <c r="C176" s="354" t="s">
        <v>686</v>
      </c>
      <c r="D176" s="614">
        <f>'C.2.2 B 09'!P16</f>
        <v>6437544.724313166</v>
      </c>
    </row>
    <row r="177" spans="1:7" ht="15.75" customHeight="1">
      <c r="A177" s="353">
        <f t="shared" si="2"/>
        <v>165</v>
      </c>
      <c r="B177" s="703" t="s">
        <v>750</v>
      </c>
      <c r="C177" s="354" t="s">
        <v>684</v>
      </c>
      <c r="D177" s="456">
        <f>+E!E23</f>
        <v>9449315.0432112589</v>
      </c>
      <c r="F177" s="783"/>
      <c r="G177" s="783"/>
    </row>
    <row r="178" spans="1:7" ht="15.75" customHeight="1">
      <c r="A178" s="353">
        <f t="shared" si="2"/>
        <v>166</v>
      </c>
      <c r="B178" s="704"/>
      <c r="D178" s="520"/>
    </row>
    <row r="179" spans="1:7" ht="15.75" customHeight="1">
      <c r="A179" s="353">
        <f t="shared" si="2"/>
        <v>167</v>
      </c>
      <c r="B179" s="360"/>
      <c r="C179" s="354" t="s">
        <v>342</v>
      </c>
      <c r="D179" s="652">
        <f>+D173+SUM(D175:D177)</f>
        <v>137820055.25221148</v>
      </c>
    </row>
    <row r="180" spans="1:7" ht="15.75" customHeight="1">
      <c r="A180" s="353">
        <f t="shared" si="2"/>
        <v>168</v>
      </c>
      <c r="B180" s="361"/>
      <c r="D180" s="520"/>
    </row>
    <row r="181" spans="1:7" ht="15.75" customHeight="1" thickBot="1">
      <c r="A181" s="353">
        <f t="shared" si="2"/>
        <v>169</v>
      </c>
      <c r="B181" s="360"/>
      <c r="C181" s="354" t="s">
        <v>343</v>
      </c>
      <c r="D181" s="897">
        <f>D32-D179</f>
        <v>22051844.399824888</v>
      </c>
    </row>
    <row r="182" spans="1:7" ht="15.75" customHeight="1" thickTop="1">
      <c r="B182" s="368"/>
    </row>
    <row r="183" spans="1:7" ht="15.75" customHeight="1">
      <c r="A183" s="357"/>
      <c r="B183" s="368"/>
    </row>
    <row r="184" spans="1:7" ht="15.75" customHeight="1">
      <c r="B184" s="368"/>
    </row>
    <row r="185" spans="1:7" ht="15.75" customHeight="1">
      <c r="B185" s="368"/>
    </row>
    <row r="186" spans="1:7" ht="15.75" customHeight="1">
      <c r="B186" s="368"/>
    </row>
    <row r="187" spans="1:7" ht="15.75" customHeight="1">
      <c r="B187" s="368"/>
    </row>
    <row r="188" spans="1:7" ht="15.75" customHeight="1">
      <c r="B188" s="368"/>
    </row>
    <row r="189" spans="1:7" ht="15.75" customHeight="1">
      <c r="B189" s="368"/>
    </row>
    <row r="190" spans="1:7" ht="15.75" customHeight="1">
      <c r="B190" s="368"/>
    </row>
    <row r="191" spans="1:7" ht="15.75" customHeight="1">
      <c r="B191" s="361"/>
    </row>
    <row r="192" spans="1:7" ht="15.75" customHeight="1">
      <c r="B192" s="361"/>
    </row>
    <row r="193" spans="2:2" ht="15.75" customHeight="1">
      <c r="B193" s="361"/>
    </row>
    <row r="194" spans="2:2" ht="15.75" customHeight="1">
      <c r="B194" s="361"/>
    </row>
    <row r="195" spans="2:2" ht="15.75" customHeight="1">
      <c r="B195" s="361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4" right="0.67" top="0.62" bottom="1.04" header="0.5" footer="0.5"/>
  <pageSetup scale="94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pageSetUpPr fitToPage="1"/>
  </sheetPr>
  <dimension ref="A1:J188"/>
  <sheetViews>
    <sheetView view="pageBreakPreview" zoomScale="60" zoomScaleNormal="80" workbookViewId="0">
      <pane ySplit="11" topLeftCell="A12" activePane="bottomLeft" state="frozen"/>
      <selection activeCell="B6" sqref="B6"/>
      <selection pane="bottomLeft" activeCell="F13" sqref="F13"/>
    </sheetView>
  </sheetViews>
  <sheetFormatPr defaultColWidth="8.44140625" defaultRowHeight="15"/>
  <cols>
    <col min="1" max="1" width="4.77734375" style="60" customWidth="1"/>
    <col min="2" max="2" width="11.88671875" style="60" customWidth="1"/>
    <col min="3" max="3" width="45.77734375" style="60" customWidth="1"/>
    <col min="4" max="4" width="13.109375" style="60" customWidth="1"/>
    <col min="5" max="5" width="3.77734375" style="60" customWidth="1"/>
    <col min="6" max="6" width="14" style="60" customWidth="1"/>
    <col min="7" max="7" width="11.109375" style="60" customWidth="1"/>
    <col min="8" max="8" width="10.88671875" style="60" customWidth="1"/>
    <col min="9" max="16384" width="8.44140625" style="60"/>
  </cols>
  <sheetData>
    <row r="1" spans="1:8" s="1" customFormat="1">
      <c r="A1" s="1261" t="str">
        <f>'Table of Contents'!A1:C1</f>
        <v>Atmos Energy Corporation, Kentucky/Mid-States Division</v>
      </c>
      <c r="B1" s="1261"/>
      <c r="C1" s="1261"/>
      <c r="D1" s="1261"/>
      <c r="E1" s="781"/>
    </row>
    <row r="2" spans="1:8" s="1" customFormat="1">
      <c r="A2" s="1261" t="str">
        <f>'Table of Contents'!A2:C2</f>
        <v>Kentucky Jurisdiction Case No. 2015-00343</v>
      </c>
      <c r="B2" s="1261"/>
      <c r="C2" s="1261"/>
      <c r="D2" s="1261"/>
      <c r="E2" s="781"/>
    </row>
    <row r="3" spans="1:8" s="1" customFormat="1">
      <c r="A3" s="1261" t="s">
        <v>290</v>
      </c>
      <c r="B3" s="1261"/>
      <c r="C3" s="1261"/>
      <c r="D3" s="1261"/>
      <c r="E3" s="781"/>
    </row>
    <row r="4" spans="1:8">
      <c r="A4" s="1261" t="str">
        <f>'Table of Contents'!A4:C4</f>
        <v>Forecasted Test Period: Twelve Months Ended May 31, 2017</v>
      </c>
      <c r="B4" s="1261"/>
      <c r="C4" s="1261"/>
      <c r="D4" s="1261"/>
      <c r="E4" s="781"/>
    </row>
    <row r="5" spans="1:8">
      <c r="A5" s="258"/>
      <c r="B5" s="258"/>
      <c r="C5" s="40"/>
      <c r="D5" s="40"/>
      <c r="E5" s="40"/>
    </row>
    <row r="6" spans="1:8">
      <c r="A6" s="247" t="s">
        <v>1084</v>
      </c>
      <c r="D6" s="656" t="s">
        <v>1523</v>
      </c>
      <c r="E6" s="656"/>
    </row>
    <row r="7" spans="1:8">
      <c r="A7" s="4" t="str">
        <f>'C.2.1 B'!A7</f>
        <v>Type of Filing:___X____Original________Updated ________Revised</v>
      </c>
      <c r="D7" s="657" t="s">
        <v>728</v>
      </c>
      <c r="E7" s="657"/>
    </row>
    <row r="8" spans="1:8">
      <c r="A8" s="278" t="s">
        <v>375</v>
      </c>
      <c r="B8" s="262"/>
      <c r="C8" s="262"/>
      <c r="D8" s="659" t="str">
        <f>C.1!J9</f>
        <v>Witness: Waller, Smith</v>
      </c>
      <c r="E8" s="784"/>
    </row>
    <row r="9" spans="1:8">
      <c r="D9" s="281"/>
      <c r="E9" s="281"/>
    </row>
    <row r="10" spans="1:8">
      <c r="A10" s="280" t="s">
        <v>98</v>
      </c>
      <c r="B10" s="281" t="s">
        <v>347</v>
      </c>
      <c r="C10" s="280" t="s">
        <v>347</v>
      </c>
      <c r="D10" s="281" t="s">
        <v>1005</v>
      </c>
      <c r="E10" s="281"/>
    </row>
    <row r="11" spans="1:8">
      <c r="A11" s="282" t="s">
        <v>104</v>
      </c>
      <c r="B11" s="332" t="s">
        <v>1347</v>
      </c>
      <c r="C11" s="282" t="s">
        <v>222</v>
      </c>
      <c r="D11" s="332" t="s">
        <v>322</v>
      </c>
      <c r="E11" s="785"/>
    </row>
    <row r="12" spans="1:8">
      <c r="D12" s="281" t="s">
        <v>1112</v>
      </c>
      <c r="E12" s="281"/>
    </row>
    <row r="13" spans="1:8">
      <c r="A13" s="281">
        <v>1</v>
      </c>
      <c r="B13" s="298"/>
      <c r="C13" s="61" t="s">
        <v>70</v>
      </c>
    </row>
    <row r="14" spans="1:8">
      <c r="A14" s="281">
        <f>A13+1</f>
        <v>2</v>
      </c>
      <c r="B14" s="281"/>
      <c r="C14" s="61" t="s">
        <v>140</v>
      </c>
      <c r="G14" s="263"/>
      <c r="H14" s="758"/>
    </row>
    <row r="15" spans="1:8">
      <c r="A15" s="281">
        <f t="shared" ref="A15:A81" si="0">A14+1</f>
        <v>3</v>
      </c>
      <c r="B15" s="710">
        <v>4800</v>
      </c>
      <c r="C15" s="369" t="s">
        <v>135</v>
      </c>
      <c r="D15" s="660">
        <f>-'C.2.2-F 09'!P17</f>
        <v>95823029.825353429</v>
      </c>
      <c r="E15" s="660"/>
      <c r="G15" s="263"/>
      <c r="H15" s="263"/>
    </row>
    <row r="16" spans="1:8">
      <c r="A16" s="281">
        <f t="shared" si="0"/>
        <v>4</v>
      </c>
      <c r="B16" s="710">
        <v>4811</v>
      </c>
      <c r="C16" s="369" t="s">
        <v>136</v>
      </c>
      <c r="D16" s="478">
        <f>-'C.2.2-F 09'!P19</f>
        <v>39862445.220677249</v>
      </c>
      <c r="E16" s="478"/>
      <c r="G16" s="263"/>
      <c r="H16" s="263"/>
    </row>
    <row r="17" spans="1:8">
      <c r="A17" s="281">
        <f t="shared" si="0"/>
        <v>5</v>
      </c>
      <c r="B17" s="710">
        <v>4812</v>
      </c>
      <c r="C17" s="369" t="s">
        <v>137</v>
      </c>
      <c r="D17" s="478">
        <f>-'C.2.2-F 09'!P20</f>
        <v>4880527.2397751613</v>
      </c>
      <c r="E17" s="478"/>
      <c r="F17" s="771"/>
      <c r="G17" s="960"/>
      <c r="H17" s="263"/>
    </row>
    <row r="18" spans="1:8">
      <c r="A18" s="281">
        <f t="shared" si="0"/>
        <v>6</v>
      </c>
      <c r="B18" s="710">
        <v>4820</v>
      </c>
      <c r="C18" s="369" t="s">
        <v>795</v>
      </c>
      <c r="D18" s="392">
        <f>-'C.2.2-F 09'!P23</f>
        <v>7189609.0439688396</v>
      </c>
      <c r="E18" s="478"/>
      <c r="F18" s="771"/>
      <c r="G18" s="960"/>
      <c r="H18" s="263"/>
    </row>
    <row r="19" spans="1:8">
      <c r="A19" s="281">
        <f t="shared" si="0"/>
        <v>7</v>
      </c>
      <c r="B19" s="281"/>
      <c r="C19" s="280" t="s">
        <v>1176</v>
      </c>
      <c r="D19" s="386">
        <f>SUM(D15:D18)</f>
        <v>147755611.32977465</v>
      </c>
      <c r="E19" s="386"/>
      <c r="F19" s="771"/>
      <c r="G19" s="960"/>
      <c r="H19" s="263"/>
    </row>
    <row r="20" spans="1:8">
      <c r="A20" s="281">
        <f t="shared" si="0"/>
        <v>8</v>
      </c>
      <c r="B20" s="104"/>
      <c r="D20" s="268"/>
      <c r="E20" s="268"/>
      <c r="F20" s="771"/>
      <c r="G20" s="960"/>
      <c r="H20" s="263"/>
    </row>
    <row r="21" spans="1:8">
      <c r="A21" s="281">
        <f t="shared" si="0"/>
        <v>9</v>
      </c>
      <c r="B21" s="104"/>
      <c r="C21" s="61" t="s">
        <v>69</v>
      </c>
      <c r="D21" s="337"/>
      <c r="E21" s="337"/>
      <c r="F21" s="771"/>
      <c r="G21" s="960"/>
      <c r="H21" s="263"/>
    </row>
    <row r="22" spans="1:8">
      <c r="A22" s="281">
        <f t="shared" si="0"/>
        <v>10</v>
      </c>
      <c r="B22" s="710">
        <v>4870</v>
      </c>
      <c r="C22" s="369" t="s">
        <v>1032</v>
      </c>
      <c r="D22" s="660">
        <f>-'C.2.2-F 09'!P25</f>
        <v>1140887.1789956738</v>
      </c>
      <c r="E22" s="660"/>
      <c r="F22" s="771"/>
      <c r="G22" s="960"/>
      <c r="H22" s="263"/>
    </row>
    <row r="23" spans="1:8">
      <c r="A23" s="281">
        <f t="shared" si="0"/>
        <v>11</v>
      </c>
      <c r="B23" s="710">
        <v>4880</v>
      </c>
      <c r="C23" s="369" t="s">
        <v>1033</v>
      </c>
      <c r="D23" s="478">
        <f>-'C.2.2-F 09'!P26</f>
        <v>795825</v>
      </c>
      <c r="E23" s="478"/>
      <c r="F23" s="771"/>
      <c r="G23" s="960"/>
      <c r="H23" s="263"/>
    </row>
    <row r="24" spans="1:8">
      <c r="A24" s="281">
        <f t="shared" si="0"/>
        <v>12</v>
      </c>
      <c r="B24" s="711" t="s">
        <v>1235</v>
      </c>
      <c r="C24" s="371" t="s">
        <v>68</v>
      </c>
      <c r="D24" s="478">
        <f>-'C.2.2-F 09'!P27</f>
        <v>14493603.90615</v>
      </c>
      <c r="E24" s="478"/>
      <c r="F24" s="771"/>
      <c r="G24" s="771"/>
      <c r="H24" s="263"/>
    </row>
    <row r="25" spans="1:8">
      <c r="A25" s="281">
        <f t="shared" si="0"/>
        <v>13</v>
      </c>
      <c r="B25" s="710">
        <v>4950</v>
      </c>
      <c r="C25" s="369" t="s">
        <v>678</v>
      </c>
      <c r="D25" s="478">
        <f>-'C.2.2-F 09'!P28</f>
        <v>2618728.0574999996</v>
      </c>
      <c r="E25" s="478"/>
      <c r="F25" s="771"/>
      <c r="G25" s="771"/>
      <c r="H25" s="263"/>
    </row>
    <row r="26" spans="1:8">
      <c r="A26" s="281">
        <f t="shared" si="0"/>
        <v>14</v>
      </c>
      <c r="B26" s="104"/>
      <c r="C26" s="280" t="s">
        <v>1177</v>
      </c>
      <c r="D26" s="894">
        <f>SUM(D22:D25)</f>
        <v>19049044.142645676</v>
      </c>
      <c r="E26" s="386"/>
      <c r="F26" s="771"/>
      <c r="G26" s="960"/>
      <c r="H26" s="263"/>
    </row>
    <row r="27" spans="1:8">
      <c r="A27" s="281">
        <f t="shared" si="0"/>
        <v>15</v>
      </c>
      <c r="B27" s="104"/>
      <c r="D27" s="337"/>
      <c r="E27" s="337"/>
      <c r="F27" s="771"/>
      <c r="G27" s="771"/>
      <c r="H27" s="263"/>
    </row>
    <row r="28" spans="1:8">
      <c r="A28" s="281">
        <f t="shared" si="0"/>
        <v>16</v>
      </c>
      <c r="B28" s="281"/>
      <c r="C28" s="280" t="s">
        <v>71</v>
      </c>
      <c r="D28" s="385">
        <f>D26+D19</f>
        <v>166804655.47242033</v>
      </c>
      <c r="E28" s="385"/>
      <c r="F28" s="771"/>
      <c r="G28" s="960"/>
      <c r="H28" s="263"/>
    </row>
    <row r="29" spans="1:8">
      <c r="A29" s="281">
        <f t="shared" si="0"/>
        <v>17</v>
      </c>
      <c r="B29" s="104"/>
      <c r="D29" s="337"/>
      <c r="E29" s="337"/>
    </row>
    <row r="30" spans="1:8">
      <c r="A30" s="281">
        <f t="shared" si="0"/>
        <v>18</v>
      </c>
      <c r="B30" s="104"/>
      <c r="C30" s="61" t="s">
        <v>310</v>
      </c>
      <c r="D30" s="337"/>
      <c r="E30" s="337"/>
    </row>
    <row r="31" spans="1:8">
      <c r="A31" s="281">
        <f t="shared" si="0"/>
        <v>19</v>
      </c>
      <c r="B31" s="104"/>
      <c r="C31" s="372" t="s">
        <v>677</v>
      </c>
      <c r="D31" s="268"/>
      <c r="E31" s="268"/>
    </row>
    <row r="32" spans="1:8">
      <c r="A32" s="281">
        <f t="shared" si="0"/>
        <v>20</v>
      </c>
      <c r="B32" s="712">
        <v>7560</v>
      </c>
      <c r="C32" s="369" t="s">
        <v>335</v>
      </c>
      <c r="D32" s="478">
        <f>'C.2.2-F 09'!P29</f>
        <v>103.72113051435586</v>
      </c>
      <c r="E32" s="478"/>
    </row>
    <row r="33" spans="1:10">
      <c r="A33" s="281">
        <f t="shared" si="0"/>
        <v>21</v>
      </c>
      <c r="B33" s="706">
        <v>7590</v>
      </c>
      <c r="C33" s="359" t="s">
        <v>1401</v>
      </c>
      <c r="D33" s="771">
        <f>'C.2.2-F 09'!P30</f>
        <v>0</v>
      </c>
      <c r="E33" s="478"/>
    </row>
    <row r="34" spans="1:10">
      <c r="A34" s="281">
        <f t="shared" si="0"/>
        <v>22</v>
      </c>
      <c r="B34" s="104"/>
      <c r="C34" s="339" t="s">
        <v>450</v>
      </c>
      <c r="D34" s="894">
        <f>SUM(D32:D33)</f>
        <v>103.72113051435586</v>
      </c>
      <c r="E34" s="386"/>
      <c r="F34" s="771"/>
      <c r="G34" s="960"/>
    </row>
    <row r="35" spans="1:10">
      <c r="A35" s="281">
        <f t="shared" si="0"/>
        <v>23</v>
      </c>
      <c r="B35" s="104"/>
      <c r="C35" s="247"/>
      <c r="D35" s="391"/>
      <c r="E35" s="391"/>
    </row>
    <row r="36" spans="1:10">
      <c r="A36" s="281">
        <f t="shared" si="0"/>
        <v>24</v>
      </c>
      <c r="B36" s="104"/>
      <c r="C36" s="372" t="s">
        <v>1160</v>
      </c>
      <c r="D36" s="391"/>
      <c r="E36" s="391"/>
    </row>
    <row r="37" spans="1:10">
      <c r="A37" s="281">
        <f t="shared" si="0"/>
        <v>25</v>
      </c>
      <c r="B37" s="712">
        <v>7610</v>
      </c>
      <c r="C37" s="369" t="s">
        <v>1162</v>
      </c>
      <c r="D37" s="661">
        <v>0</v>
      </c>
      <c r="E37" s="660"/>
    </row>
    <row r="38" spans="1:10">
      <c r="A38" s="281">
        <f t="shared" si="0"/>
        <v>26</v>
      </c>
      <c r="B38" s="104"/>
      <c r="C38" s="247"/>
      <c r="D38" s="386">
        <f>SUM(D37)</f>
        <v>0</v>
      </c>
      <c r="E38" s="386"/>
    </row>
    <row r="39" spans="1:10">
      <c r="A39" s="281">
        <f t="shared" si="0"/>
        <v>27</v>
      </c>
      <c r="B39" s="104"/>
      <c r="C39" s="372" t="s">
        <v>1044</v>
      </c>
      <c r="D39" s="268"/>
      <c r="E39" s="268"/>
    </row>
    <row r="40" spans="1:10">
      <c r="A40" s="281">
        <f t="shared" si="0"/>
        <v>28</v>
      </c>
      <c r="B40" s="712">
        <v>8140</v>
      </c>
      <c r="C40" s="369" t="s">
        <v>687</v>
      </c>
      <c r="D40" s="660">
        <f>'C.2.2-F 09'!P46</f>
        <v>-73.411813745234497</v>
      </c>
      <c r="E40" s="660"/>
      <c r="J40" s="934"/>
    </row>
    <row r="41" spans="1:10">
      <c r="A41" s="281">
        <f t="shared" si="0"/>
        <v>29</v>
      </c>
      <c r="B41" s="712">
        <v>8150</v>
      </c>
      <c r="C41" s="369" t="s">
        <v>302</v>
      </c>
      <c r="D41" s="478">
        <v>0</v>
      </c>
      <c r="E41" s="267"/>
    </row>
    <row r="42" spans="1:10">
      <c r="A42" s="281">
        <f t="shared" si="0"/>
        <v>30</v>
      </c>
      <c r="B42" s="712">
        <v>8160</v>
      </c>
      <c r="C42" s="369" t="s">
        <v>522</v>
      </c>
      <c r="D42" s="478">
        <f>'C.2.2-F 09'!P47</f>
        <v>92006.908220302023</v>
      </c>
      <c r="E42" s="267"/>
      <c r="J42" s="934"/>
    </row>
    <row r="43" spans="1:10">
      <c r="A43" s="281">
        <f t="shared" si="0"/>
        <v>31</v>
      </c>
      <c r="B43" s="712">
        <v>8170</v>
      </c>
      <c r="C43" s="369" t="s">
        <v>523</v>
      </c>
      <c r="D43" s="478">
        <f>'C.2.2-F 09'!P48</f>
        <v>36434.826208633858</v>
      </c>
      <c r="E43" s="267"/>
      <c r="J43" s="934"/>
    </row>
    <row r="44" spans="1:10">
      <c r="A44" s="281">
        <f t="shared" si="0"/>
        <v>32</v>
      </c>
      <c r="B44" s="712">
        <v>8180</v>
      </c>
      <c r="C44" s="369" t="s">
        <v>149</v>
      </c>
      <c r="D44" s="478">
        <f>'C.2.2-F 09'!P49</f>
        <v>26327.414943322936</v>
      </c>
      <c r="E44" s="267"/>
      <c r="J44" s="934"/>
    </row>
    <row r="45" spans="1:10">
      <c r="A45" s="281">
        <f t="shared" si="0"/>
        <v>33</v>
      </c>
      <c r="B45" s="713">
        <v>8190</v>
      </c>
      <c r="C45" s="323" t="s">
        <v>150</v>
      </c>
      <c r="D45" s="478">
        <f>'C.2.2-F 09'!P50</f>
        <v>696.66560730043182</v>
      </c>
      <c r="E45" s="267"/>
      <c r="J45" s="934"/>
    </row>
    <row r="46" spans="1:10">
      <c r="A46" s="281">
        <f t="shared" si="0"/>
        <v>34</v>
      </c>
      <c r="B46" s="713">
        <v>8200</v>
      </c>
      <c r="C46" s="323" t="s">
        <v>490</v>
      </c>
      <c r="D46" s="478">
        <f>'C.2.2-F 09'!P51</f>
        <v>2739.864372868532</v>
      </c>
      <c r="E46" s="267"/>
      <c r="J46" s="934"/>
    </row>
    <row r="47" spans="1:10">
      <c r="A47" s="281">
        <f t="shared" si="0"/>
        <v>35</v>
      </c>
      <c r="B47" s="713">
        <v>8210</v>
      </c>
      <c r="C47" s="323" t="s">
        <v>491</v>
      </c>
      <c r="D47" s="478">
        <f>'C.2.2-F 09'!P52</f>
        <v>46479.654188193097</v>
      </c>
      <c r="E47" s="267"/>
      <c r="J47" s="934"/>
    </row>
    <row r="48" spans="1:10">
      <c r="A48" s="281">
        <f t="shared" si="0"/>
        <v>36</v>
      </c>
      <c r="B48" s="713">
        <v>8240</v>
      </c>
      <c r="C48" s="323" t="s">
        <v>600</v>
      </c>
      <c r="D48" s="478">
        <f>'C.2.2-F 09'!P53</f>
        <v>1278.0995125652898</v>
      </c>
      <c r="E48" s="267"/>
      <c r="J48" s="934"/>
    </row>
    <row r="49" spans="1:10">
      <c r="A49" s="281">
        <f t="shared" si="0"/>
        <v>37</v>
      </c>
      <c r="B49" s="713">
        <v>8250</v>
      </c>
      <c r="C49" s="323" t="s">
        <v>653</v>
      </c>
      <c r="D49" s="478">
        <f>'C.2.2-F 09'!P54</f>
        <v>7367.963346891197</v>
      </c>
      <c r="E49" s="267"/>
      <c r="J49" s="934"/>
    </row>
    <row r="50" spans="1:10">
      <c r="A50" s="281">
        <f t="shared" si="0"/>
        <v>38</v>
      </c>
      <c r="B50" s="104"/>
      <c r="C50" s="339" t="s">
        <v>1045</v>
      </c>
      <c r="D50" s="894">
        <f>SUM(D40:D49)</f>
        <v>213257.98458633214</v>
      </c>
      <c r="E50" s="386"/>
      <c r="F50" s="771"/>
      <c r="G50" s="960"/>
    </row>
    <row r="51" spans="1:10">
      <c r="A51" s="281">
        <f t="shared" si="0"/>
        <v>39</v>
      </c>
      <c r="B51" s="104"/>
      <c r="C51" s="247"/>
      <c r="D51" s="301"/>
      <c r="E51" s="301"/>
    </row>
    <row r="52" spans="1:10">
      <c r="A52" s="281">
        <f t="shared" si="0"/>
        <v>40</v>
      </c>
      <c r="B52" s="104"/>
      <c r="C52" s="372" t="s">
        <v>1031</v>
      </c>
      <c r="D52" s="301"/>
      <c r="E52" s="301"/>
    </row>
    <row r="53" spans="1:10">
      <c r="A53" s="281">
        <f t="shared" si="0"/>
        <v>41</v>
      </c>
      <c r="B53" s="713">
        <v>8310</v>
      </c>
      <c r="C53" s="323" t="s">
        <v>654</v>
      </c>
      <c r="D53" s="660">
        <f>'C.2.2-F 09'!P55</f>
        <v>3834.223441099195</v>
      </c>
      <c r="E53" s="660"/>
      <c r="J53" s="934"/>
    </row>
    <row r="54" spans="1:10">
      <c r="A54" s="281">
        <f t="shared" si="0"/>
        <v>42</v>
      </c>
      <c r="B54" s="713">
        <v>8320</v>
      </c>
      <c r="C54" s="323" t="s">
        <v>655</v>
      </c>
      <c r="D54" s="478">
        <v>0</v>
      </c>
      <c r="E54" s="267"/>
    </row>
    <row r="55" spans="1:10">
      <c r="A55" s="281">
        <f t="shared" si="0"/>
        <v>43</v>
      </c>
      <c r="B55" s="713">
        <v>8340</v>
      </c>
      <c r="C55" s="323" t="s">
        <v>656</v>
      </c>
      <c r="D55" s="478">
        <f>'C.2.2-F 09'!P56</f>
        <v>3106.0895408107194</v>
      </c>
      <c r="E55" s="267"/>
      <c r="J55" s="934"/>
    </row>
    <row r="56" spans="1:10">
      <c r="A56" s="281">
        <f t="shared" si="0"/>
        <v>44</v>
      </c>
      <c r="B56" s="713">
        <v>8350</v>
      </c>
      <c r="C56" s="323" t="s">
        <v>657</v>
      </c>
      <c r="D56" s="478">
        <f>'C.2.2-F 09'!P57</f>
        <v>2423.8288034980792</v>
      </c>
      <c r="E56" s="267"/>
      <c r="J56" s="934"/>
    </row>
    <row r="57" spans="1:10">
      <c r="A57" s="281">
        <f t="shared" si="0"/>
        <v>45</v>
      </c>
      <c r="B57" s="713">
        <v>8360</v>
      </c>
      <c r="C57" s="323" t="s">
        <v>1060</v>
      </c>
      <c r="D57" s="478">
        <f>'C.2.2-F 09'!P58</f>
        <v>247.85940069986549</v>
      </c>
      <c r="E57" s="267"/>
      <c r="J57" s="934"/>
    </row>
    <row r="58" spans="1:10">
      <c r="A58" s="281">
        <f t="shared" si="0"/>
        <v>46</v>
      </c>
      <c r="B58" s="713">
        <v>8370</v>
      </c>
      <c r="C58" s="323" t="s">
        <v>1386</v>
      </c>
      <c r="D58" s="478">
        <f>'C.2.2-F 09'!P59</f>
        <v>0</v>
      </c>
      <c r="E58" s="267"/>
      <c r="J58" s="934"/>
    </row>
    <row r="59" spans="1:10">
      <c r="A59" s="281">
        <f t="shared" si="0"/>
        <v>47</v>
      </c>
      <c r="B59" s="714" t="s">
        <v>460</v>
      </c>
      <c r="C59" s="323" t="s">
        <v>461</v>
      </c>
      <c r="D59" s="478">
        <f>'C.2.2-F 09'!P60</f>
        <v>129336.15020381426</v>
      </c>
      <c r="E59" s="267"/>
    </row>
    <row r="60" spans="1:10">
      <c r="A60" s="281">
        <f t="shared" si="0"/>
        <v>48</v>
      </c>
      <c r="B60" s="104"/>
      <c r="C60" s="339" t="s">
        <v>1046</v>
      </c>
      <c r="D60" s="894">
        <f>SUM(D53:D59)</f>
        <v>138948.15138992213</v>
      </c>
      <c r="E60" s="660"/>
      <c r="F60" s="771"/>
      <c r="G60" s="960"/>
    </row>
    <row r="61" spans="1:10">
      <c r="A61" s="281">
        <f t="shared" si="0"/>
        <v>49</v>
      </c>
      <c r="B61" s="104"/>
      <c r="C61" s="247"/>
      <c r="D61" s="301"/>
      <c r="E61" s="301"/>
    </row>
    <row r="62" spans="1:10">
      <c r="A62" s="281">
        <f t="shared" si="0"/>
        <v>50</v>
      </c>
      <c r="B62" s="104"/>
      <c r="C62" s="372" t="s">
        <v>1047</v>
      </c>
      <c r="D62" s="301"/>
      <c r="E62" s="301"/>
    </row>
    <row r="63" spans="1:10">
      <c r="A63" s="281">
        <f t="shared" si="0"/>
        <v>51</v>
      </c>
      <c r="B63" s="713">
        <v>8500</v>
      </c>
      <c r="C63" s="323" t="s">
        <v>687</v>
      </c>
      <c r="D63" s="660">
        <v>0</v>
      </c>
      <c r="E63" s="660"/>
      <c r="J63" s="934"/>
    </row>
    <row r="64" spans="1:10">
      <c r="A64" s="281">
        <f t="shared" si="0"/>
        <v>52</v>
      </c>
      <c r="B64" s="713">
        <v>8520</v>
      </c>
      <c r="C64" s="366" t="s">
        <v>1387</v>
      </c>
      <c r="D64" s="478">
        <f>'C.2.2-F 09'!P61</f>
        <v>0</v>
      </c>
      <c r="E64" s="660"/>
      <c r="J64" s="934"/>
    </row>
    <row r="65" spans="1:10">
      <c r="A65" s="281">
        <f t="shared" si="0"/>
        <v>53</v>
      </c>
      <c r="B65" s="713">
        <v>8550</v>
      </c>
      <c r="C65" s="366" t="s">
        <v>1465</v>
      </c>
      <c r="D65" s="478">
        <f>'C.2.2-F 09'!P62</f>
        <v>50.244184785773342</v>
      </c>
      <c r="E65" s="660"/>
      <c r="J65" s="934"/>
    </row>
    <row r="66" spans="1:10">
      <c r="A66" s="281">
        <f t="shared" si="0"/>
        <v>54</v>
      </c>
      <c r="B66" s="713">
        <v>8560</v>
      </c>
      <c r="C66" s="323" t="s">
        <v>658</v>
      </c>
      <c r="D66" s="478">
        <f>'C.2.2-F 09'!P63</f>
        <v>307841.17609223054</v>
      </c>
      <c r="E66" s="267"/>
      <c r="J66" s="934"/>
    </row>
    <row r="67" spans="1:10">
      <c r="A67" s="281">
        <f t="shared" si="0"/>
        <v>55</v>
      </c>
      <c r="B67" s="713">
        <v>8570</v>
      </c>
      <c r="C67" s="323" t="s">
        <v>659</v>
      </c>
      <c r="D67" s="478">
        <f>'C.2.2-F 09'!P64</f>
        <v>33551.585374407099</v>
      </c>
      <c r="E67" s="267"/>
      <c r="J67" s="934"/>
    </row>
    <row r="68" spans="1:10">
      <c r="A68" s="281">
        <f t="shared" si="0"/>
        <v>56</v>
      </c>
      <c r="B68" s="713">
        <v>8590</v>
      </c>
      <c r="C68" s="323" t="s">
        <v>662</v>
      </c>
      <c r="D68" s="267">
        <v>0</v>
      </c>
      <c r="E68" s="267"/>
    </row>
    <row r="69" spans="1:10">
      <c r="A69" s="281">
        <f t="shared" si="0"/>
        <v>57</v>
      </c>
      <c r="B69" s="713">
        <v>8600</v>
      </c>
      <c r="C69" s="323" t="s">
        <v>786</v>
      </c>
      <c r="D69" s="309">
        <v>0</v>
      </c>
      <c r="E69" s="267"/>
    </row>
    <row r="70" spans="1:10">
      <c r="A70" s="281">
        <f t="shared" si="0"/>
        <v>58</v>
      </c>
      <c r="B70" s="104"/>
      <c r="C70" s="339" t="s">
        <v>1023</v>
      </c>
      <c r="D70" s="386">
        <f>SUM(D63:D69)</f>
        <v>341443.00565142342</v>
      </c>
      <c r="E70" s="386"/>
      <c r="F70" s="771"/>
      <c r="G70" s="960"/>
    </row>
    <row r="71" spans="1:10">
      <c r="A71" s="281">
        <f t="shared" si="0"/>
        <v>59</v>
      </c>
      <c r="B71" s="104"/>
      <c r="C71" s="247"/>
      <c r="D71" s="301"/>
      <c r="E71" s="301"/>
    </row>
    <row r="72" spans="1:10">
      <c r="A72" s="281">
        <f t="shared" si="0"/>
        <v>60</v>
      </c>
      <c r="B72" s="104"/>
      <c r="C72" s="372" t="s">
        <v>1024</v>
      </c>
      <c r="D72" s="301"/>
      <c r="E72" s="301"/>
    </row>
    <row r="73" spans="1:10">
      <c r="A73" s="281">
        <f t="shared" si="0"/>
        <v>61</v>
      </c>
      <c r="B73" s="713">
        <v>8620</v>
      </c>
      <c r="C73" s="323" t="s">
        <v>988</v>
      </c>
      <c r="D73" s="660">
        <v>0</v>
      </c>
      <c r="E73" s="660"/>
    </row>
    <row r="74" spans="1:10">
      <c r="A74" s="281">
        <f t="shared" si="0"/>
        <v>62</v>
      </c>
      <c r="B74" s="713">
        <v>8630</v>
      </c>
      <c r="C74" s="323" t="s">
        <v>521</v>
      </c>
      <c r="D74" s="478">
        <f>'C.2.2-F 09'!P65</f>
        <v>5909.9643315109106</v>
      </c>
      <c r="E74" s="267"/>
      <c r="J74" s="934"/>
    </row>
    <row r="75" spans="1:10">
      <c r="A75" s="281">
        <f t="shared" si="0"/>
        <v>63</v>
      </c>
      <c r="B75" s="713">
        <v>8640</v>
      </c>
      <c r="C75" s="323" t="s">
        <v>607</v>
      </c>
      <c r="D75" s="478">
        <f>'C.2.2-F 09'!P66</f>
        <v>0</v>
      </c>
      <c r="E75" s="267"/>
    </row>
    <row r="76" spans="1:10">
      <c r="A76" s="281">
        <f t="shared" si="0"/>
        <v>64</v>
      </c>
      <c r="B76" s="713">
        <v>8650</v>
      </c>
      <c r="C76" s="323" t="s">
        <v>660</v>
      </c>
      <c r="D76" s="478">
        <f>'C.2.2-F 09'!P67</f>
        <v>5801.7154221800774</v>
      </c>
      <c r="E76" s="267"/>
      <c r="J76" s="934"/>
    </row>
    <row r="77" spans="1:10">
      <c r="A77" s="281">
        <f t="shared" si="0"/>
        <v>65</v>
      </c>
      <c r="B77" s="713">
        <v>8670</v>
      </c>
      <c r="C77" s="323" t="s">
        <v>661</v>
      </c>
      <c r="D77" s="478">
        <v>0</v>
      </c>
      <c r="E77" s="267"/>
      <c r="J77" s="934"/>
    </row>
    <row r="78" spans="1:10">
      <c r="A78" s="281">
        <f t="shared" si="0"/>
        <v>66</v>
      </c>
      <c r="B78" s="104"/>
      <c r="C78" s="339" t="s">
        <v>1025</v>
      </c>
      <c r="D78" s="894">
        <f>SUM(D73:D77)</f>
        <v>11711.679753690987</v>
      </c>
      <c r="E78" s="386"/>
      <c r="F78" s="771"/>
      <c r="G78" s="960"/>
    </row>
    <row r="79" spans="1:10">
      <c r="A79" s="281">
        <f t="shared" si="0"/>
        <v>67</v>
      </c>
      <c r="B79" s="104"/>
      <c r="C79" s="247"/>
      <c r="D79" s="301"/>
      <c r="E79" s="301"/>
    </row>
    <row r="80" spans="1:10">
      <c r="A80" s="281">
        <f t="shared" si="0"/>
        <v>68</v>
      </c>
      <c r="B80" s="104"/>
      <c r="C80" s="372" t="s">
        <v>336</v>
      </c>
      <c r="D80" s="337"/>
      <c r="E80" s="337"/>
    </row>
    <row r="81" spans="1:6">
      <c r="A81" s="281">
        <f t="shared" si="0"/>
        <v>69</v>
      </c>
      <c r="B81" s="703">
        <v>8001</v>
      </c>
      <c r="C81" s="359" t="s">
        <v>885</v>
      </c>
      <c r="D81" s="660">
        <f>'C.2.2-F 09'!P31</f>
        <v>1309084.3388093805</v>
      </c>
      <c r="E81" s="660"/>
    </row>
    <row r="82" spans="1:6">
      <c r="A82" s="281">
        <f t="shared" ref="A82:A145" si="1">A81+1</f>
        <v>70</v>
      </c>
      <c r="B82" s="703">
        <v>8010</v>
      </c>
      <c r="C82" s="119" t="s">
        <v>1233</v>
      </c>
      <c r="D82" s="267">
        <f>'C.2.2-F 09'!P32</f>
        <v>81989.854458805363</v>
      </c>
      <c r="E82" s="660"/>
    </row>
    <row r="83" spans="1:6">
      <c r="A83" s="281">
        <f t="shared" si="1"/>
        <v>71</v>
      </c>
      <c r="B83" s="710">
        <v>8040</v>
      </c>
      <c r="C83" s="280" t="s">
        <v>311</v>
      </c>
      <c r="D83" s="267">
        <f>'C.2.2-F 09'!P33</f>
        <v>54630685.565620363</v>
      </c>
      <c r="E83" s="267"/>
      <c r="F83" s="267"/>
    </row>
    <row r="84" spans="1:6">
      <c r="A84" s="281">
        <f t="shared" si="1"/>
        <v>72</v>
      </c>
      <c r="B84" s="710">
        <v>8045</v>
      </c>
      <c r="C84" s="280" t="s">
        <v>1158</v>
      </c>
      <c r="D84" s="267">
        <v>0</v>
      </c>
      <c r="E84" s="267"/>
      <c r="F84" s="267"/>
    </row>
    <row r="85" spans="1:6">
      <c r="A85" s="281">
        <f t="shared" si="1"/>
        <v>73</v>
      </c>
      <c r="B85" s="703">
        <v>8050</v>
      </c>
      <c r="C85" s="359" t="s">
        <v>927</v>
      </c>
      <c r="D85" s="267">
        <f>'C.2.2-F 09'!P34</f>
        <v>16638.113422500668</v>
      </c>
      <c r="E85" s="267"/>
      <c r="F85" s="267"/>
    </row>
    <row r="86" spans="1:6">
      <c r="A86" s="281">
        <f t="shared" si="1"/>
        <v>74</v>
      </c>
      <c r="B86" s="710">
        <v>8051</v>
      </c>
      <c r="C86" s="280" t="s">
        <v>828</v>
      </c>
      <c r="D86" s="267">
        <f>'C.2.2-F 09'!P35</f>
        <v>50026638.460275397</v>
      </c>
      <c r="E86" s="267"/>
      <c r="F86" s="267"/>
    </row>
    <row r="87" spans="1:6">
      <c r="A87" s="281">
        <f t="shared" si="1"/>
        <v>75</v>
      </c>
      <c r="B87" s="710">
        <v>8052</v>
      </c>
      <c r="C87" s="280" t="s">
        <v>435</v>
      </c>
      <c r="D87" s="267">
        <f>'C.2.2-F 09'!P36</f>
        <v>24814110.4430135</v>
      </c>
      <c r="E87" s="267"/>
      <c r="F87" s="267"/>
    </row>
    <row r="88" spans="1:6">
      <c r="A88" s="281">
        <f t="shared" si="1"/>
        <v>76</v>
      </c>
      <c r="B88" s="710">
        <v>8053</v>
      </c>
      <c r="C88" s="280" t="s">
        <v>852</v>
      </c>
      <c r="D88" s="267">
        <f>'C.2.2-F 09'!P37</f>
        <v>4715343.3058455419</v>
      </c>
      <c r="E88" s="267"/>
      <c r="F88" s="267"/>
    </row>
    <row r="89" spans="1:6">
      <c r="A89" s="281">
        <f t="shared" si="1"/>
        <v>77</v>
      </c>
      <c r="B89" s="710">
        <v>8054</v>
      </c>
      <c r="C89" s="280" t="s">
        <v>853</v>
      </c>
      <c r="D89" s="267">
        <f>'C.2.2-F 09'!P38</f>
        <v>5349099.1036434416</v>
      </c>
      <c r="E89" s="267"/>
      <c r="F89" s="267"/>
    </row>
    <row r="90" spans="1:6">
      <c r="A90" s="281">
        <f t="shared" si="1"/>
        <v>78</v>
      </c>
      <c r="B90" s="710">
        <v>8057</v>
      </c>
      <c r="C90" s="280" t="s">
        <v>286</v>
      </c>
      <c r="D90" s="267">
        <v>0</v>
      </c>
      <c r="E90" s="267"/>
      <c r="F90" s="267"/>
    </row>
    <row r="91" spans="1:6">
      <c r="A91" s="281">
        <f t="shared" si="1"/>
        <v>79</v>
      </c>
      <c r="B91" s="710">
        <v>8058</v>
      </c>
      <c r="C91" s="280" t="s">
        <v>287</v>
      </c>
      <c r="D91" s="267">
        <f>'C.2.2-F 09'!P39</f>
        <v>-5516158.570744819</v>
      </c>
      <c r="E91" s="267"/>
      <c r="F91" s="267"/>
    </row>
    <row r="92" spans="1:6">
      <c r="A92" s="281">
        <f t="shared" si="1"/>
        <v>80</v>
      </c>
      <c r="B92" s="710">
        <v>8059</v>
      </c>
      <c r="C92" s="280" t="s">
        <v>288</v>
      </c>
      <c r="D92" s="267">
        <f>'C.2.2-F 09'!P40</f>
        <v>-80142158.203396305</v>
      </c>
      <c r="E92" s="267"/>
      <c r="F92" s="267"/>
    </row>
    <row r="93" spans="1:6">
      <c r="A93" s="281">
        <f t="shared" si="1"/>
        <v>81</v>
      </c>
      <c r="B93" s="710">
        <v>8060</v>
      </c>
      <c r="C93" s="280" t="s">
        <v>1026</v>
      </c>
      <c r="D93" s="267">
        <f>'C.2.2-F 09'!P41</f>
        <v>-1334672.4285446138</v>
      </c>
      <c r="E93" s="267"/>
      <c r="F93" s="267"/>
    </row>
    <row r="94" spans="1:6">
      <c r="A94" s="281">
        <f t="shared" si="1"/>
        <v>82</v>
      </c>
      <c r="B94" s="710">
        <v>8081</v>
      </c>
      <c r="C94" s="280" t="s">
        <v>289</v>
      </c>
      <c r="D94" s="267">
        <f>'C.2.2-F 09'!P42</f>
        <v>20002882.697330352</v>
      </c>
      <c r="E94" s="267"/>
      <c r="F94" s="267"/>
    </row>
    <row r="95" spans="1:6">
      <c r="A95" s="281">
        <f t="shared" si="1"/>
        <v>83</v>
      </c>
      <c r="B95" s="710">
        <v>8082</v>
      </c>
      <c r="C95" s="280" t="s">
        <v>72</v>
      </c>
      <c r="D95" s="267">
        <f>'C.2.2-F 09'!P43</f>
        <v>-16514585.049590139</v>
      </c>
      <c r="E95" s="267"/>
      <c r="F95" s="267"/>
    </row>
    <row r="96" spans="1:6">
      <c r="A96" s="281">
        <f t="shared" si="1"/>
        <v>84</v>
      </c>
      <c r="B96" s="703">
        <v>8110</v>
      </c>
      <c r="C96" s="354" t="s">
        <v>1234</v>
      </c>
      <c r="D96" s="267">
        <v>0</v>
      </c>
      <c r="E96" s="267"/>
      <c r="F96" s="267"/>
    </row>
    <row r="97" spans="1:10">
      <c r="A97" s="281">
        <f t="shared" si="1"/>
        <v>85</v>
      </c>
      <c r="B97" s="710">
        <v>8120</v>
      </c>
      <c r="C97" s="280" t="s">
        <v>1042</v>
      </c>
      <c r="D97" s="267">
        <f>'C.2.2-F 09'!P44</f>
        <v>-10856.051578414428</v>
      </c>
      <c r="E97" s="267"/>
      <c r="F97" s="267"/>
    </row>
    <row r="98" spans="1:10">
      <c r="A98" s="281">
        <f t="shared" si="1"/>
        <v>86</v>
      </c>
      <c r="B98" s="710">
        <v>8130</v>
      </c>
      <c r="C98" s="280" t="s">
        <v>74</v>
      </c>
      <c r="D98" s="267">
        <v>0</v>
      </c>
      <c r="E98" s="267"/>
      <c r="F98" s="267"/>
    </row>
    <row r="99" spans="1:10">
      <c r="A99" s="281">
        <f t="shared" si="1"/>
        <v>87</v>
      </c>
      <c r="B99" s="703">
        <v>8580</v>
      </c>
      <c r="C99" s="354" t="s">
        <v>1232</v>
      </c>
      <c r="D99" s="267">
        <f>'C.2.2-F 09'!P45</f>
        <v>21950135.111889657</v>
      </c>
      <c r="E99" s="267"/>
    </row>
    <row r="100" spans="1:10">
      <c r="A100" s="281">
        <f t="shared" si="1"/>
        <v>88</v>
      </c>
      <c r="B100" s="104"/>
      <c r="C100" s="893" t="s">
        <v>1043</v>
      </c>
      <c r="D100" s="894">
        <f>SUM(D81:D99)</f>
        <v>79378176.690454662</v>
      </c>
      <c r="E100" s="386"/>
      <c r="F100" s="771"/>
      <c r="G100" s="960"/>
    </row>
    <row r="101" spans="1:10">
      <c r="A101" s="281">
        <f t="shared" si="1"/>
        <v>89</v>
      </c>
      <c r="B101" s="104"/>
      <c r="D101" s="268"/>
      <c r="E101" s="268"/>
    </row>
    <row r="102" spans="1:10">
      <c r="A102" s="281">
        <f t="shared" si="1"/>
        <v>90</v>
      </c>
      <c r="B102" s="104"/>
      <c r="C102" s="372" t="s">
        <v>1070</v>
      </c>
      <c r="D102" s="268"/>
      <c r="E102" s="268"/>
    </row>
    <row r="103" spans="1:10">
      <c r="A103" s="281">
        <f t="shared" si="1"/>
        <v>91</v>
      </c>
      <c r="B103" s="710">
        <v>8700</v>
      </c>
      <c r="C103" s="369" t="s">
        <v>663</v>
      </c>
      <c r="D103" s="660">
        <f>'C.2.2-F 09'!P68</f>
        <v>1066339.993609379</v>
      </c>
      <c r="E103" s="660"/>
      <c r="J103" s="934"/>
    </row>
    <row r="104" spans="1:10">
      <c r="A104" s="281">
        <f t="shared" si="1"/>
        <v>92</v>
      </c>
      <c r="B104" s="710">
        <v>8710</v>
      </c>
      <c r="C104" s="369" t="s">
        <v>664</v>
      </c>
      <c r="D104" s="267">
        <f>'C.2.2-F 09'!P69</f>
        <v>1775.3449244682231</v>
      </c>
      <c r="E104" s="267"/>
      <c r="J104" s="934"/>
    </row>
    <row r="105" spans="1:10">
      <c r="A105" s="281">
        <f t="shared" si="1"/>
        <v>93</v>
      </c>
      <c r="B105" s="710">
        <v>8711</v>
      </c>
      <c r="C105" s="280" t="s">
        <v>354</v>
      </c>
      <c r="D105" s="267">
        <f>'C.2.2-F 09'!P70</f>
        <v>9754.2475563403532</v>
      </c>
      <c r="E105" s="267"/>
      <c r="J105" s="934"/>
    </row>
    <row r="106" spans="1:10">
      <c r="A106" s="281">
        <f t="shared" si="1"/>
        <v>94</v>
      </c>
      <c r="B106" s="710">
        <v>8720</v>
      </c>
      <c r="C106" s="369" t="s">
        <v>980</v>
      </c>
      <c r="D106" s="267">
        <f>'C.2.2-F 09'!P71</f>
        <v>0</v>
      </c>
      <c r="E106" s="267"/>
    </row>
    <row r="107" spans="1:10">
      <c r="A107" s="281">
        <f t="shared" si="1"/>
        <v>95</v>
      </c>
      <c r="B107" s="710">
        <v>8740</v>
      </c>
      <c r="C107" s="369" t="s">
        <v>981</v>
      </c>
      <c r="D107" s="267">
        <f>'C.2.2-F 09'!P72</f>
        <v>3653349.5677708811</v>
      </c>
      <c r="E107" s="267"/>
      <c r="J107" s="934"/>
    </row>
    <row r="108" spans="1:10">
      <c r="A108" s="281">
        <f t="shared" si="1"/>
        <v>96</v>
      </c>
      <c r="B108" s="710">
        <v>8750</v>
      </c>
      <c r="C108" s="369" t="s">
        <v>985</v>
      </c>
      <c r="D108" s="267">
        <f>'C.2.2-F 09'!P73</f>
        <v>393588.37119690882</v>
      </c>
      <c r="E108" s="267"/>
      <c r="J108" s="934"/>
    </row>
    <row r="109" spans="1:10">
      <c r="A109" s="281">
        <f t="shared" si="1"/>
        <v>97</v>
      </c>
      <c r="B109" s="710">
        <v>8760</v>
      </c>
      <c r="C109" s="369" t="s">
        <v>986</v>
      </c>
      <c r="D109" s="267">
        <f>'C.2.2-F 09'!P74</f>
        <v>32536.462809747987</v>
      </c>
      <c r="E109" s="267"/>
      <c r="J109" s="934"/>
    </row>
    <row r="110" spans="1:10">
      <c r="A110" s="281">
        <f t="shared" si="1"/>
        <v>98</v>
      </c>
      <c r="B110" s="710">
        <v>8770</v>
      </c>
      <c r="C110" s="369" t="s">
        <v>987</v>
      </c>
      <c r="D110" s="267">
        <f>'C.2.2-F 09'!P75</f>
        <v>114995.55931441962</v>
      </c>
      <c r="E110" s="267"/>
      <c r="J110" s="934"/>
    </row>
    <row r="111" spans="1:10">
      <c r="A111" s="281">
        <f t="shared" si="1"/>
        <v>99</v>
      </c>
      <c r="B111" s="710">
        <v>8780</v>
      </c>
      <c r="C111" s="369" t="s">
        <v>982</v>
      </c>
      <c r="D111" s="267">
        <f>'C.2.2-F 09'!P76</f>
        <v>884899.99392058305</v>
      </c>
      <c r="E111" s="267"/>
      <c r="J111" s="934"/>
    </row>
    <row r="112" spans="1:10">
      <c r="A112" s="281">
        <f t="shared" si="1"/>
        <v>100</v>
      </c>
      <c r="B112" s="710">
        <v>8790</v>
      </c>
      <c r="C112" s="369" t="s">
        <v>983</v>
      </c>
      <c r="D112" s="267">
        <f>'C.2.2-F 09'!P77</f>
        <v>688.93579609909511</v>
      </c>
      <c r="E112" s="267"/>
      <c r="J112" s="934"/>
    </row>
    <row r="113" spans="1:10">
      <c r="A113" s="281">
        <f t="shared" si="1"/>
        <v>101</v>
      </c>
      <c r="B113" s="710">
        <v>8800</v>
      </c>
      <c r="C113" s="369" t="s">
        <v>984</v>
      </c>
      <c r="D113" s="267">
        <f>'C.2.2-F 09'!P78</f>
        <v>207678.38801365125</v>
      </c>
      <c r="E113" s="267"/>
      <c r="J113" s="934"/>
    </row>
    <row r="114" spans="1:10">
      <c r="A114" s="281">
        <f t="shared" si="1"/>
        <v>102</v>
      </c>
      <c r="B114" s="710">
        <v>8810</v>
      </c>
      <c r="C114" s="369" t="s">
        <v>786</v>
      </c>
      <c r="D114" s="267">
        <f>'C.2.2-F 09'!P79</f>
        <v>404666.9380969255</v>
      </c>
      <c r="E114" s="267"/>
      <c r="J114" s="934"/>
    </row>
    <row r="115" spans="1:10">
      <c r="A115" s="281">
        <f t="shared" si="1"/>
        <v>103</v>
      </c>
      <c r="B115" s="104"/>
      <c r="C115" s="339" t="s">
        <v>675</v>
      </c>
      <c r="D115" s="894">
        <f>SUM(D103:D114)</f>
        <v>6770273.8030094048</v>
      </c>
      <c r="E115" s="386"/>
      <c r="F115" s="771"/>
      <c r="G115" s="960"/>
    </row>
    <row r="116" spans="1:10">
      <c r="A116" s="281">
        <f t="shared" si="1"/>
        <v>104</v>
      </c>
      <c r="B116" s="104"/>
      <c r="D116" s="268"/>
      <c r="E116" s="268"/>
    </row>
    <row r="117" spans="1:10">
      <c r="A117" s="281">
        <f t="shared" si="1"/>
        <v>105</v>
      </c>
      <c r="B117" s="281"/>
      <c r="C117" s="372" t="s">
        <v>676</v>
      </c>
      <c r="D117" s="337"/>
      <c r="E117" s="337"/>
    </row>
    <row r="118" spans="1:10">
      <c r="A118" s="281">
        <f t="shared" si="1"/>
        <v>106</v>
      </c>
      <c r="B118" s="710">
        <v>8850</v>
      </c>
      <c r="C118" s="369" t="s">
        <v>663</v>
      </c>
      <c r="D118" s="660">
        <f>'C.2.2-F 09'!P80</f>
        <v>2199.7257032294769</v>
      </c>
      <c r="E118" s="660"/>
      <c r="H118" s="934"/>
      <c r="J118" s="934"/>
    </row>
    <row r="119" spans="1:10">
      <c r="A119" s="281">
        <f t="shared" si="1"/>
        <v>107</v>
      </c>
      <c r="B119" s="710">
        <v>8860</v>
      </c>
      <c r="C119" s="369" t="s">
        <v>988</v>
      </c>
      <c r="D119" s="267">
        <f>'C.2.2-F 09'!P81</f>
        <v>21233.988737328007</v>
      </c>
      <c r="E119" s="267"/>
      <c r="H119" s="934"/>
      <c r="J119" s="934"/>
    </row>
    <row r="120" spans="1:10">
      <c r="A120" s="281">
        <f t="shared" si="1"/>
        <v>108</v>
      </c>
      <c r="B120" s="710">
        <v>8870</v>
      </c>
      <c r="C120" s="369" t="s">
        <v>521</v>
      </c>
      <c r="D120" s="267">
        <f>'C.2.2-F 09'!P82</f>
        <v>42537.548027511199</v>
      </c>
      <c r="E120" s="267"/>
      <c r="H120" s="934"/>
      <c r="J120" s="934"/>
    </row>
    <row r="121" spans="1:10">
      <c r="A121" s="281">
        <f t="shared" si="1"/>
        <v>109</v>
      </c>
      <c r="B121" s="710">
        <v>8890</v>
      </c>
      <c r="C121" s="369" t="s">
        <v>985</v>
      </c>
      <c r="D121" s="267">
        <f>'C.2.2-F 09'!P83</f>
        <v>6135.2406713397404</v>
      </c>
      <c r="E121" s="267"/>
      <c r="H121" s="934"/>
      <c r="J121" s="934"/>
    </row>
    <row r="122" spans="1:10">
      <c r="A122" s="281">
        <f t="shared" si="1"/>
        <v>110</v>
      </c>
      <c r="B122" s="710">
        <v>8900</v>
      </c>
      <c r="C122" s="369" t="s">
        <v>986</v>
      </c>
      <c r="D122" s="267">
        <f>'C.2.2-F 09'!P84</f>
        <v>9732.5747097342755</v>
      </c>
      <c r="E122" s="267"/>
      <c r="H122" s="934"/>
      <c r="J122" s="934"/>
    </row>
    <row r="123" spans="1:10">
      <c r="A123" s="281">
        <f t="shared" si="1"/>
        <v>111</v>
      </c>
      <c r="B123" s="710">
        <v>8910</v>
      </c>
      <c r="C123" s="369" t="s">
        <v>987</v>
      </c>
      <c r="D123" s="267">
        <f>'C.2.2-F 09'!P85</f>
        <v>23795.426438791441</v>
      </c>
      <c r="E123" s="267"/>
      <c r="H123" s="934"/>
      <c r="J123" s="934"/>
    </row>
    <row r="124" spans="1:10">
      <c r="A124" s="281">
        <f t="shared" si="1"/>
        <v>112</v>
      </c>
      <c r="B124" s="710">
        <v>8920</v>
      </c>
      <c r="C124" s="369" t="s">
        <v>1072</v>
      </c>
      <c r="D124" s="267">
        <f>'C.2.2-F 09'!P86</f>
        <v>3522.4239533994196</v>
      </c>
      <c r="E124" s="267"/>
      <c r="H124" s="934"/>
      <c r="J124" s="934"/>
    </row>
    <row r="125" spans="1:10">
      <c r="A125" s="281">
        <f t="shared" si="1"/>
        <v>113</v>
      </c>
      <c r="B125" s="710">
        <v>8930</v>
      </c>
      <c r="C125" s="369" t="s">
        <v>989</v>
      </c>
      <c r="D125" s="267">
        <f>'C.2.2-F 09'!P87</f>
        <v>105291.66026953013</v>
      </c>
      <c r="E125" s="267"/>
      <c r="H125" s="934"/>
      <c r="J125" s="934"/>
    </row>
    <row r="126" spans="1:10">
      <c r="A126" s="281">
        <f t="shared" si="1"/>
        <v>114</v>
      </c>
      <c r="B126" s="710">
        <v>8940</v>
      </c>
      <c r="C126" s="369" t="s">
        <v>661</v>
      </c>
      <c r="D126" s="267">
        <f>'C.2.2-F 09'!P88</f>
        <v>69008.521048641822</v>
      </c>
      <c r="E126" s="267"/>
      <c r="H126" s="934"/>
      <c r="J126" s="934"/>
    </row>
    <row r="127" spans="1:10">
      <c r="A127" s="281">
        <f t="shared" si="1"/>
        <v>115</v>
      </c>
      <c r="B127" s="715" t="s">
        <v>798</v>
      </c>
      <c r="C127" s="369" t="s">
        <v>301</v>
      </c>
      <c r="D127" s="309">
        <v>0</v>
      </c>
      <c r="E127" s="267"/>
      <c r="H127" s="934"/>
    </row>
    <row r="128" spans="1:10">
      <c r="A128" s="281">
        <f t="shared" si="1"/>
        <v>116</v>
      </c>
      <c r="B128" s="104"/>
      <c r="C128" s="339" t="s">
        <v>436</v>
      </c>
      <c r="D128" s="386">
        <f>SUM(D118:D127)</f>
        <v>283457.10955950548</v>
      </c>
      <c r="E128" s="386"/>
      <c r="F128" s="771"/>
      <c r="G128" s="960"/>
    </row>
    <row r="129" spans="1:10">
      <c r="A129" s="281">
        <f t="shared" si="1"/>
        <v>117</v>
      </c>
      <c r="B129" s="104"/>
      <c r="C129" s="339"/>
      <c r="D129" s="301"/>
      <c r="E129" s="301"/>
    </row>
    <row r="130" spans="1:10">
      <c r="A130" s="281">
        <f t="shared" si="1"/>
        <v>118</v>
      </c>
      <c r="B130" s="281"/>
      <c r="C130" s="372" t="s">
        <v>437</v>
      </c>
      <c r="D130" s="337"/>
      <c r="E130" s="337"/>
    </row>
    <row r="131" spans="1:10">
      <c r="A131" s="281">
        <f t="shared" si="1"/>
        <v>119</v>
      </c>
      <c r="B131" s="710">
        <v>9010</v>
      </c>
      <c r="C131" s="369" t="s">
        <v>493</v>
      </c>
      <c r="D131" s="660">
        <v>0</v>
      </c>
      <c r="E131" s="660"/>
      <c r="H131" s="934"/>
      <c r="J131" s="934"/>
    </row>
    <row r="132" spans="1:10">
      <c r="A132" s="281">
        <f t="shared" si="1"/>
        <v>120</v>
      </c>
      <c r="B132" s="710">
        <v>9020</v>
      </c>
      <c r="C132" s="369" t="s">
        <v>682</v>
      </c>
      <c r="D132" s="267">
        <f>'C.2.2-F 09'!P89</f>
        <v>1130015.49593935</v>
      </c>
      <c r="E132" s="267"/>
      <c r="H132" s="934"/>
      <c r="J132" s="934"/>
    </row>
    <row r="133" spans="1:10">
      <c r="A133" s="281">
        <f t="shared" si="1"/>
        <v>121</v>
      </c>
      <c r="B133" s="710">
        <v>9030</v>
      </c>
      <c r="C133" s="369" t="s">
        <v>990</v>
      </c>
      <c r="D133" s="267">
        <f>'C.2.2-F 09'!P90</f>
        <v>377023.73491864966</v>
      </c>
      <c r="E133" s="267"/>
      <c r="H133" s="934"/>
      <c r="J133" s="934"/>
    </row>
    <row r="134" spans="1:10">
      <c r="A134" s="281">
        <f t="shared" si="1"/>
        <v>122</v>
      </c>
      <c r="B134" s="710">
        <v>9040</v>
      </c>
      <c r="C134" s="369" t="s">
        <v>683</v>
      </c>
      <c r="D134" s="267">
        <f>'C.2.2-F 09'!P91</f>
        <v>313426.18041533593</v>
      </c>
      <c r="E134" s="267"/>
      <c r="H134" s="934"/>
      <c r="J134" s="934"/>
    </row>
    <row r="135" spans="1:10">
      <c r="A135" s="281">
        <f t="shared" si="1"/>
        <v>123</v>
      </c>
      <c r="B135" s="281"/>
      <c r="C135" s="339" t="s">
        <v>559</v>
      </c>
      <c r="D135" s="894">
        <f>SUM(D131:D134)</f>
        <v>1820465.4112733356</v>
      </c>
      <c r="E135" s="386"/>
      <c r="F135" s="771"/>
      <c r="G135" s="960"/>
      <c r="H135" s="934"/>
    </row>
    <row r="136" spans="1:10">
      <c r="A136" s="281">
        <f t="shared" si="1"/>
        <v>124</v>
      </c>
      <c r="B136" s="104"/>
      <c r="D136" s="268"/>
      <c r="E136" s="268"/>
    </row>
    <row r="137" spans="1:10">
      <c r="A137" s="281">
        <f t="shared" si="1"/>
        <v>125</v>
      </c>
      <c r="B137" s="104"/>
      <c r="C137" s="372" t="s">
        <v>560</v>
      </c>
      <c r="D137" s="268"/>
      <c r="E137" s="268"/>
    </row>
    <row r="138" spans="1:10">
      <c r="A138" s="281">
        <f t="shared" si="1"/>
        <v>126</v>
      </c>
      <c r="B138" s="710">
        <v>9070</v>
      </c>
      <c r="C138" s="369" t="s">
        <v>493</v>
      </c>
      <c r="D138" s="660">
        <v>0</v>
      </c>
      <c r="E138" s="660"/>
      <c r="H138" s="934"/>
      <c r="J138" s="934"/>
    </row>
    <row r="139" spans="1:10">
      <c r="A139" s="281">
        <f t="shared" si="1"/>
        <v>127</v>
      </c>
      <c r="B139" s="710">
        <v>9080</v>
      </c>
      <c r="C139" s="369" t="s">
        <v>681</v>
      </c>
      <c r="D139" s="267">
        <v>0</v>
      </c>
      <c r="E139" s="267"/>
      <c r="H139" s="934"/>
      <c r="J139" s="934"/>
    </row>
    <row r="140" spans="1:10">
      <c r="A140" s="281">
        <f t="shared" si="1"/>
        <v>128</v>
      </c>
      <c r="B140" s="710">
        <v>9090</v>
      </c>
      <c r="C140" s="369" t="s">
        <v>680</v>
      </c>
      <c r="D140" s="267">
        <f>'C.2.2-F 09'!P92</f>
        <v>122977.93644900681</v>
      </c>
      <c r="E140" s="267"/>
      <c r="H140" s="934"/>
      <c r="J140" s="934"/>
    </row>
    <row r="141" spans="1:10">
      <c r="A141" s="281">
        <f t="shared" si="1"/>
        <v>129</v>
      </c>
      <c r="B141" s="710">
        <v>9100</v>
      </c>
      <c r="C141" s="369" t="s">
        <v>466</v>
      </c>
      <c r="D141" s="267">
        <f>'C.2.2-F 09'!P93</f>
        <v>178.69074769292916</v>
      </c>
      <c r="E141" s="267"/>
      <c r="H141" s="934"/>
      <c r="J141" s="934"/>
    </row>
    <row r="142" spans="1:10">
      <c r="A142" s="281">
        <f t="shared" si="1"/>
        <v>130</v>
      </c>
      <c r="B142" s="281"/>
      <c r="C142" s="339" t="s">
        <v>873</v>
      </c>
      <c r="D142" s="894">
        <f>SUM(D138:D141)</f>
        <v>123156.62719669974</v>
      </c>
      <c r="E142" s="386"/>
      <c r="F142" s="771"/>
      <c r="G142" s="960"/>
    </row>
    <row r="143" spans="1:10">
      <c r="A143" s="281">
        <f t="shared" si="1"/>
        <v>131</v>
      </c>
      <c r="B143" s="281"/>
      <c r="C143" s="339"/>
      <c r="D143" s="301"/>
      <c r="E143" s="301"/>
    </row>
    <row r="144" spans="1:10">
      <c r="A144" s="281">
        <f t="shared" si="1"/>
        <v>132</v>
      </c>
      <c r="B144" s="281"/>
      <c r="C144" s="372" t="s">
        <v>509</v>
      </c>
      <c r="D144" s="337"/>
      <c r="E144" s="337"/>
    </row>
    <row r="145" spans="1:10">
      <c r="A145" s="281">
        <f t="shared" si="1"/>
        <v>133</v>
      </c>
      <c r="B145" s="710">
        <v>9110</v>
      </c>
      <c r="C145" s="369" t="s">
        <v>493</v>
      </c>
      <c r="D145" s="660">
        <f>'C.2.2-F 09'!P94</f>
        <v>252261.0435620413</v>
      </c>
      <c r="E145" s="660"/>
      <c r="H145" s="934"/>
      <c r="J145" s="934"/>
    </row>
    <row r="146" spans="1:10">
      <c r="A146" s="281">
        <f t="shared" ref="A146:A177" si="2">A145+1</f>
        <v>134</v>
      </c>
      <c r="B146" s="710">
        <v>9120</v>
      </c>
      <c r="C146" s="369" t="s">
        <v>787</v>
      </c>
      <c r="D146" s="267">
        <f>'C.2.2-F 09'!P95</f>
        <v>54617.941221711779</v>
      </c>
      <c r="E146" s="267"/>
      <c r="H146" s="934"/>
      <c r="J146" s="934"/>
    </row>
    <row r="147" spans="1:10">
      <c r="A147" s="281">
        <f t="shared" si="2"/>
        <v>135</v>
      </c>
      <c r="B147" s="710">
        <v>9130</v>
      </c>
      <c r="C147" s="369" t="s">
        <v>870</v>
      </c>
      <c r="D147" s="267">
        <f>'C.2.2-F 09'!P96</f>
        <v>22473.830225135178</v>
      </c>
      <c r="E147" s="267"/>
      <c r="H147" s="934"/>
      <c r="J147" s="934"/>
    </row>
    <row r="148" spans="1:10">
      <c r="A148" s="281">
        <f t="shared" si="2"/>
        <v>136</v>
      </c>
      <c r="B148" s="710">
        <v>9160</v>
      </c>
      <c r="C148" s="369" t="s">
        <v>854</v>
      </c>
      <c r="D148" s="267">
        <v>0</v>
      </c>
      <c r="E148" s="267"/>
      <c r="H148" s="934"/>
      <c r="J148" s="934"/>
    </row>
    <row r="149" spans="1:10">
      <c r="A149" s="281">
        <f t="shared" si="2"/>
        <v>137</v>
      </c>
      <c r="B149" s="281"/>
      <c r="C149" s="339" t="s">
        <v>1135</v>
      </c>
      <c r="D149" s="894">
        <f>SUM(D145:D148)</f>
        <v>329352.81500888825</v>
      </c>
      <c r="E149" s="386"/>
      <c r="F149" s="771"/>
      <c r="G149" s="960"/>
    </row>
    <row r="150" spans="1:10">
      <c r="A150" s="281">
        <f t="shared" si="2"/>
        <v>138</v>
      </c>
      <c r="B150" s="104"/>
      <c r="D150" s="337"/>
      <c r="E150" s="337"/>
    </row>
    <row r="151" spans="1:10">
      <c r="A151" s="281">
        <f t="shared" si="2"/>
        <v>139</v>
      </c>
      <c r="B151" s="281"/>
      <c r="C151" s="372" t="s">
        <v>1136</v>
      </c>
      <c r="D151" s="337"/>
      <c r="E151" s="337"/>
      <c r="H151" s="934"/>
    </row>
    <row r="152" spans="1:10">
      <c r="A152" s="281">
        <f t="shared" si="2"/>
        <v>140</v>
      </c>
      <c r="B152" s="710">
        <v>9200</v>
      </c>
      <c r="C152" s="369" t="s">
        <v>778</v>
      </c>
      <c r="D152" s="386">
        <f>'C.2.2-F 09'!P97</f>
        <v>134043.94718883245</v>
      </c>
      <c r="E152" s="660"/>
      <c r="H152" s="934"/>
      <c r="J152" s="934"/>
    </row>
    <row r="153" spans="1:10">
      <c r="A153" s="281">
        <f t="shared" si="2"/>
        <v>141</v>
      </c>
      <c r="B153" s="710">
        <v>9210</v>
      </c>
      <c r="C153" s="369" t="s">
        <v>779</v>
      </c>
      <c r="D153" s="267">
        <f>'C.2.2-F 09'!P98</f>
        <v>6848.4123874449897</v>
      </c>
      <c r="E153" s="267"/>
      <c r="H153" s="934"/>
      <c r="J153" s="934"/>
    </row>
    <row r="154" spans="1:10">
      <c r="A154" s="281">
        <f t="shared" si="2"/>
        <v>142</v>
      </c>
      <c r="B154" s="710">
        <v>9220</v>
      </c>
      <c r="C154" s="369" t="s">
        <v>780</v>
      </c>
      <c r="D154" s="267">
        <f>'C.2.2-F 09'!P99</f>
        <v>14025277.326675855</v>
      </c>
      <c r="E154" s="267"/>
      <c r="H154" s="934"/>
      <c r="J154" s="934"/>
    </row>
    <row r="155" spans="1:10">
      <c r="A155" s="281">
        <f t="shared" si="2"/>
        <v>143</v>
      </c>
      <c r="B155" s="710">
        <v>9230</v>
      </c>
      <c r="C155" s="369" t="s">
        <v>781</v>
      </c>
      <c r="D155" s="267">
        <f>'C.2.2-F 09'!P100</f>
        <v>186924.24905357341</v>
      </c>
      <c r="E155" s="267"/>
      <c r="H155" s="934"/>
      <c r="J155" s="934"/>
    </row>
    <row r="156" spans="1:10">
      <c r="A156" s="281">
        <f t="shared" si="2"/>
        <v>144</v>
      </c>
      <c r="B156" s="710">
        <v>9240</v>
      </c>
      <c r="C156" s="369" t="s">
        <v>317</v>
      </c>
      <c r="D156" s="267">
        <f>'C.2.2-F 09'!P101</f>
        <v>8157.2829559719648</v>
      </c>
      <c r="E156" s="267"/>
      <c r="H156" s="934"/>
      <c r="J156" s="934"/>
    </row>
    <row r="157" spans="1:10">
      <c r="A157" s="281">
        <f t="shared" si="2"/>
        <v>145</v>
      </c>
      <c r="B157" s="710">
        <v>9250</v>
      </c>
      <c r="C157" s="369" t="s">
        <v>782</v>
      </c>
      <c r="D157" s="267">
        <f>'C.2.2-F 09'!P102</f>
        <v>214468.94200588667</v>
      </c>
      <c r="E157" s="267"/>
      <c r="H157" s="934"/>
      <c r="J157" s="934"/>
    </row>
    <row r="158" spans="1:10">
      <c r="A158" s="281">
        <f t="shared" si="2"/>
        <v>146</v>
      </c>
      <c r="B158" s="710">
        <v>9260</v>
      </c>
      <c r="C158" s="369" t="s">
        <v>784</v>
      </c>
      <c r="D158" s="267">
        <f>'C.2.2-F 09'!P103</f>
        <v>2187598.6752288421</v>
      </c>
      <c r="E158" s="267"/>
      <c r="H158" s="934"/>
      <c r="J158" s="934"/>
    </row>
    <row r="159" spans="1:10">
      <c r="A159" s="281">
        <f t="shared" si="2"/>
        <v>147</v>
      </c>
      <c r="B159" s="710">
        <v>9270</v>
      </c>
      <c r="C159" s="369" t="s">
        <v>318</v>
      </c>
      <c r="D159" s="267">
        <f>'C.2.2-F 09'!P104</f>
        <v>82.597628258568534</v>
      </c>
      <c r="E159" s="267"/>
      <c r="H159" s="934"/>
      <c r="J159" s="934"/>
    </row>
    <row r="160" spans="1:10">
      <c r="A160" s="281">
        <f t="shared" si="2"/>
        <v>148</v>
      </c>
      <c r="B160" s="710">
        <v>9280</v>
      </c>
      <c r="C160" s="369" t="s">
        <v>785</v>
      </c>
      <c r="D160" s="267">
        <f>'C.2.2-F 09'!P105</f>
        <v>11105.924436332165</v>
      </c>
      <c r="E160" s="267"/>
      <c r="H160" s="934"/>
      <c r="J160" s="934"/>
    </row>
    <row r="161" spans="1:10">
      <c r="A161" s="281">
        <f t="shared" si="2"/>
        <v>149</v>
      </c>
      <c r="B161" s="716">
        <v>930.2</v>
      </c>
      <c r="C161" s="369" t="s">
        <v>319</v>
      </c>
      <c r="D161" s="267">
        <f>'C.2.2-F 09'!P106</f>
        <v>30750.483234346058</v>
      </c>
      <c r="E161" s="267"/>
      <c r="H161" s="934"/>
      <c r="J161" s="934"/>
    </row>
    <row r="162" spans="1:10">
      <c r="A162" s="281">
        <f t="shared" si="2"/>
        <v>150</v>
      </c>
      <c r="B162" s="703">
        <v>9310</v>
      </c>
      <c r="C162" s="359" t="s">
        <v>189</v>
      </c>
      <c r="D162" s="267">
        <f>'C.2.2-F 09'!P107</f>
        <v>12399.327451230149</v>
      </c>
      <c r="E162" s="267"/>
      <c r="H162" s="934"/>
      <c r="J162" s="934"/>
    </row>
    <row r="163" spans="1:10">
      <c r="A163" s="281">
        <f t="shared" si="2"/>
        <v>151</v>
      </c>
      <c r="B163" s="281"/>
      <c r="C163" s="339" t="s">
        <v>777</v>
      </c>
      <c r="D163" s="894">
        <f>SUM(D152:D162)</f>
        <v>16817657.168246571</v>
      </c>
      <c r="E163" s="386"/>
      <c r="F163" s="771"/>
      <c r="G163" s="960"/>
    </row>
    <row r="164" spans="1:10">
      <c r="A164" s="281">
        <f t="shared" si="2"/>
        <v>152</v>
      </c>
      <c r="B164" s="281"/>
      <c r="C164" s="298"/>
      <c r="D164" s="337"/>
      <c r="E164" s="337"/>
      <c r="H164" s="934"/>
    </row>
    <row r="165" spans="1:10">
      <c r="A165" s="281">
        <f t="shared" si="2"/>
        <v>153</v>
      </c>
      <c r="B165" s="281"/>
      <c r="C165" s="372" t="s">
        <v>788</v>
      </c>
      <c r="D165" s="337"/>
      <c r="E165" s="337"/>
      <c r="H165" s="934"/>
    </row>
    <row r="166" spans="1:10">
      <c r="A166" s="281">
        <f t="shared" si="2"/>
        <v>154</v>
      </c>
      <c r="B166" s="710">
        <v>9320</v>
      </c>
      <c r="C166" s="369" t="s">
        <v>789</v>
      </c>
      <c r="D166" s="309">
        <f>'C.2.2-F 09'!P108</f>
        <v>1458.3517059555129</v>
      </c>
      <c r="E166" s="267"/>
      <c r="H166" s="934"/>
    </row>
    <row r="167" spans="1:10">
      <c r="A167" s="281">
        <f t="shared" si="2"/>
        <v>155</v>
      </c>
      <c r="B167" s="281"/>
      <c r="C167" s="339" t="s">
        <v>749</v>
      </c>
      <c r="D167" s="662">
        <f>SUM(D166:D166)</f>
        <v>1458.3517059555129</v>
      </c>
      <c r="E167" s="662"/>
      <c r="H167" s="934"/>
    </row>
    <row r="168" spans="1:10">
      <c r="A168" s="281">
        <f t="shared" si="2"/>
        <v>156</v>
      </c>
      <c r="B168" s="104"/>
      <c r="D168" s="268"/>
      <c r="E168" s="268"/>
      <c r="H168" s="934"/>
    </row>
    <row r="169" spans="1:10">
      <c r="A169" s="281">
        <f t="shared" si="2"/>
        <v>157</v>
      </c>
      <c r="B169" s="281"/>
      <c r="C169" s="61" t="s">
        <v>338</v>
      </c>
      <c r="D169" s="386">
        <f>+D34+D50+D60+D70+D78+D100+D115+D128+D135+D142+D149+D163+D167</f>
        <v>106229462.5189669</v>
      </c>
      <c r="E169" s="386"/>
      <c r="H169" s="934"/>
      <c r="I169" s="89"/>
    </row>
    <row r="170" spans="1:10">
      <c r="A170" s="281">
        <f t="shared" si="2"/>
        <v>158</v>
      </c>
      <c r="B170" s="104"/>
      <c r="D170" s="268"/>
      <c r="E170" s="268"/>
      <c r="H170" s="934"/>
    </row>
    <row r="171" spans="1:10">
      <c r="A171" s="281">
        <f t="shared" si="2"/>
        <v>159</v>
      </c>
      <c r="B171" s="281" t="s">
        <v>320</v>
      </c>
      <c r="C171" s="280" t="s">
        <v>685</v>
      </c>
      <c r="D171" s="660">
        <f>'C.2.2-F 09'!P14+'C.2.2-F 09'!P15</f>
        <v>19444465.926407062</v>
      </c>
      <c r="E171" s="660"/>
      <c r="F171" s="771"/>
      <c r="G171" s="960"/>
      <c r="H171" s="934"/>
    </row>
    <row r="172" spans="1:10">
      <c r="A172" s="281">
        <f t="shared" si="2"/>
        <v>160</v>
      </c>
      <c r="B172" s="710">
        <v>4081</v>
      </c>
      <c r="C172" s="280" t="s">
        <v>686</v>
      </c>
      <c r="D172" s="267">
        <f>'C.2.2-F 09'!P16</f>
        <v>6100220.1526932763</v>
      </c>
      <c r="E172" s="267"/>
      <c r="F172" s="771"/>
      <c r="G172" s="960"/>
      <c r="H172" s="934"/>
    </row>
    <row r="173" spans="1:10">
      <c r="A173" s="281">
        <f t="shared" si="2"/>
        <v>161</v>
      </c>
      <c r="B173" s="710">
        <v>4091</v>
      </c>
      <c r="C173" s="280" t="s">
        <v>684</v>
      </c>
      <c r="D173" s="267">
        <f>'C.2.2-F 09'!P12</f>
        <v>11151747.424144486</v>
      </c>
      <c r="E173" s="267"/>
      <c r="F173" s="771"/>
      <c r="G173" s="960"/>
    </row>
    <row r="174" spans="1:10">
      <c r="A174" s="281">
        <f t="shared" si="2"/>
        <v>162</v>
      </c>
      <c r="B174" s="310"/>
      <c r="D174" s="268"/>
      <c r="E174" s="268"/>
    </row>
    <row r="175" spans="1:10">
      <c r="A175" s="281">
        <f t="shared" si="2"/>
        <v>163</v>
      </c>
      <c r="B175" s="370"/>
      <c r="C175" s="280" t="s">
        <v>337</v>
      </c>
      <c r="D175" s="661">
        <f>+D169+SUM(D171:D173)</f>
        <v>142925896.02221173</v>
      </c>
      <c r="E175" s="660"/>
    </row>
    <row r="176" spans="1:10">
      <c r="A176" s="281">
        <f t="shared" si="2"/>
        <v>164</v>
      </c>
      <c r="B176" s="310"/>
      <c r="D176" s="268"/>
      <c r="E176" s="268"/>
    </row>
    <row r="177" spans="1:5" ht="15.75" thickBot="1">
      <c r="A177" s="281">
        <f t="shared" si="2"/>
        <v>165</v>
      </c>
      <c r="B177" s="370"/>
      <c r="C177" s="280" t="s">
        <v>355</v>
      </c>
      <c r="D177" s="717">
        <f>(D28-D175)</f>
        <v>23878759.450208604</v>
      </c>
      <c r="E177" s="660"/>
    </row>
    <row r="178" spans="1:5" ht="15.75" thickTop="1">
      <c r="A178" s="263"/>
      <c r="B178" s="663"/>
      <c r="C178" s="263"/>
      <c r="D178" s="308"/>
      <c r="E178" s="308"/>
    </row>
    <row r="179" spans="1:5">
      <c r="A179" s="263"/>
      <c r="B179" s="664"/>
      <c r="C179" s="263"/>
      <c r="D179" s="263"/>
      <c r="E179" s="263"/>
    </row>
    <row r="180" spans="1:5">
      <c r="B180" s="374"/>
    </row>
    <row r="181" spans="1:5">
      <c r="B181" s="374"/>
    </row>
    <row r="182" spans="1:5">
      <c r="B182" s="374"/>
    </row>
    <row r="183" spans="1:5">
      <c r="B183" s="374"/>
    </row>
    <row r="184" spans="1:5">
      <c r="B184" s="310"/>
    </row>
    <row r="185" spans="1:5">
      <c r="B185" s="310"/>
    </row>
    <row r="186" spans="1:5">
      <c r="B186" s="310"/>
    </row>
    <row r="187" spans="1:5">
      <c r="B187" s="310"/>
    </row>
    <row r="188" spans="1:5">
      <c r="B188" s="310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81" right="0.7" top="0.71" bottom="0.94" header="0.5" footer="0.25"/>
  <pageSetup scale="98" fitToHeight="10" orientation="portrait" verticalDpi="300" r:id="rId1"/>
  <headerFooter alignWithMargins="0">
    <oddFooter>&amp;RSchedule &amp;A
Page &amp;P of &amp;N</oddFooter>
  </headerFooter>
  <rowBreaks count="3" manualBreakCount="3">
    <brk id="50" max="3" man="1"/>
    <brk id="100" max="3" man="1"/>
    <brk id="142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0"/>
  <sheetViews>
    <sheetView view="pageBreakPreview" zoomScale="60" zoomScaleNormal="70" workbookViewId="0">
      <pane xSplit="3" ySplit="10" topLeftCell="D17" activePane="bottomRight" state="frozen"/>
      <selection activeCell="E55" sqref="E55"/>
      <selection pane="topRight" activeCell="E55" sqref="E55"/>
      <selection pane="bottomLeft" activeCell="E55" sqref="E55"/>
      <selection pane="bottomRight" activeCell="F25" sqref="F25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  <c r="S1" s="1"/>
    </row>
    <row r="2" spans="1:2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  <c r="R2" s="1"/>
      <c r="S2" s="1"/>
    </row>
    <row r="3" spans="1:21">
      <c r="A3" s="1259" t="s">
        <v>432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  <c r="S3" s="1"/>
    </row>
    <row r="4" spans="1:2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  <c r="R4" s="60"/>
      <c r="S4" s="60"/>
    </row>
    <row r="5" spans="1:21" ht="15.75">
      <c r="A5" s="77"/>
      <c r="B5" s="77"/>
      <c r="C5" s="77"/>
      <c r="D5" s="263"/>
      <c r="F5" s="896"/>
      <c r="G5" s="77"/>
      <c r="H5" s="77"/>
      <c r="I5" s="77"/>
      <c r="K5" s="896"/>
      <c r="L5" s="77"/>
      <c r="M5" s="780"/>
      <c r="N5" s="780"/>
      <c r="O5" s="780"/>
      <c r="P5" s="77"/>
      <c r="Q5" s="1"/>
      <c r="R5" s="60"/>
      <c r="S5" s="60"/>
    </row>
    <row r="6" spans="1:21" ht="15.75">
      <c r="A6" s="247" t="str">
        <f>'C.2.1 B'!A6</f>
        <v>Data:___X____Base Period________Forecasted Period</v>
      </c>
      <c r="B6" s="60"/>
      <c r="C6" s="277"/>
      <c r="D6" s="263"/>
      <c r="E6" s="263"/>
      <c r="F6" s="896"/>
      <c r="G6" s="263"/>
      <c r="H6" s="263"/>
      <c r="I6" s="263"/>
      <c r="J6" s="263"/>
      <c r="L6" s="60"/>
      <c r="M6" s="60"/>
      <c r="N6" s="60"/>
      <c r="O6" s="780"/>
      <c r="P6" s="665" t="s">
        <v>1524</v>
      </c>
      <c r="Q6" s="1"/>
      <c r="R6" s="60"/>
      <c r="S6" s="60"/>
    </row>
    <row r="7" spans="1:21">
      <c r="A7" s="247" t="str">
        <f>'C.2.1 B'!A7</f>
        <v>Type of Filing:___X____Original________Updated ________Revised</v>
      </c>
      <c r="B7" s="60"/>
      <c r="C7" s="277"/>
      <c r="D7" s="263"/>
      <c r="E7" s="771"/>
      <c r="F7" s="60"/>
      <c r="G7" s="60"/>
      <c r="H7" s="60"/>
      <c r="I7" s="60"/>
      <c r="J7" s="60"/>
      <c r="K7" s="60"/>
      <c r="L7" s="60"/>
      <c r="M7" s="60"/>
      <c r="N7" s="60"/>
      <c r="O7" s="780"/>
      <c r="P7" s="666" t="s">
        <v>38</v>
      </c>
      <c r="Q7" s="60"/>
      <c r="R7" s="60"/>
      <c r="S7" s="60"/>
    </row>
    <row r="8" spans="1:21">
      <c r="A8" s="265" t="str">
        <f>'C.2.1 B'!A8</f>
        <v>Workpaper Reference No(s).____________________</v>
      </c>
      <c r="B8" s="60"/>
      <c r="C8" s="277"/>
      <c r="D8" s="86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397"/>
      <c r="P8" s="667" t="str">
        <f>C.1!J9</f>
        <v>Witness: Waller, Smith</v>
      </c>
      <c r="Q8" s="60"/>
      <c r="R8" s="60"/>
      <c r="S8" s="60"/>
    </row>
    <row r="9" spans="1:21">
      <c r="A9" s="668" t="s">
        <v>98</v>
      </c>
      <c r="B9" s="669" t="s">
        <v>105</v>
      </c>
      <c r="C9" s="670"/>
      <c r="D9" s="126" t="s">
        <v>112</v>
      </c>
      <c r="E9" s="126" t="s">
        <v>112</v>
      </c>
      <c r="F9" s="126" t="s">
        <v>112</v>
      </c>
      <c r="G9" s="126" t="s">
        <v>112</v>
      </c>
      <c r="H9" s="126" t="s">
        <v>112</v>
      </c>
      <c r="I9" s="126" t="s">
        <v>112</v>
      </c>
      <c r="J9" s="1014" t="s">
        <v>44</v>
      </c>
      <c r="K9" s="1049" t="s">
        <v>467</v>
      </c>
      <c r="L9" s="76" t="s">
        <v>467</v>
      </c>
      <c r="M9" s="76" t="s">
        <v>467</v>
      </c>
      <c r="N9" s="76" t="s">
        <v>467</v>
      </c>
      <c r="O9" s="76" t="s">
        <v>467</v>
      </c>
      <c r="P9" s="104"/>
      <c r="Q9" s="104"/>
      <c r="R9" s="104"/>
      <c r="S9" s="104"/>
    </row>
    <row r="10" spans="1:21">
      <c r="A10" s="671" t="s">
        <v>104</v>
      </c>
      <c r="B10" s="300" t="s">
        <v>104</v>
      </c>
      <c r="C10" s="672" t="s">
        <v>971</v>
      </c>
      <c r="D10" s="450">
        <v>42094</v>
      </c>
      <c r="E10" s="450">
        <v>42095</v>
      </c>
      <c r="F10" s="450">
        <v>42155</v>
      </c>
      <c r="G10" s="450">
        <v>42185</v>
      </c>
      <c r="H10" s="450">
        <v>42216</v>
      </c>
      <c r="I10" s="450">
        <v>42247</v>
      </c>
      <c r="J10" s="804">
        <v>42277</v>
      </c>
      <c r="K10" s="450">
        <v>42308</v>
      </c>
      <c r="L10" s="450">
        <v>42338</v>
      </c>
      <c r="M10" s="450">
        <v>42369</v>
      </c>
      <c r="N10" s="450">
        <v>42400</v>
      </c>
      <c r="O10" s="450">
        <v>42429</v>
      </c>
      <c r="P10" s="284" t="s">
        <v>101</v>
      </c>
      <c r="Q10" s="285"/>
      <c r="R10" s="104"/>
      <c r="S10" s="104"/>
    </row>
    <row r="11" spans="1:21">
      <c r="A11" s="60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86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  <c r="R11" s="60"/>
    </row>
    <row r="12" spans="1:21">
      <c r="A12" s="618">
        <v>1</v>
      </c>
      <c r="B12" s="1110" t="s">
        <v>750</v>
      </c>
      <c r="C12" s="130" t="s">
        <v>741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520">
        <f>E!$E$23/6</f>
        <v>1574885.8405352097</v>
      </c>
      <c r="K12" s="520">
        <f>E!$E$23/6</f>
        <v>1574885.8405352097</v>
      </c>
      <c r="L12" s="520">
        <f>E!$E$23/6</f>
        <v>1574885.8405352097</v>
      </c>
      <c r="M12" s="520">
        <f>E!$E$23/6</f>
        <v>1574885.8405352097</v>
      </c>
      <c r="N12" s="520">
        <f>E!$E$23/6</f>
        <v>1574885.8405352097</v>
      </c>
      <c r="O12" s="520">
        <f>E!$E$23/6</f>
        <v>1574885.8405352097</v>
      </c>
      <c r="P12" s="204">
        <f>SUM(D12:O12)</f>
        <v>9449315.0432112589</v>
      </c>
      <c r="Q12" s="771"/>
      <c r="R12" s="771"/>
      <c r="S12" s="771"/>
      <c r="U12" s="1060"/>
    </row>
    <row r="13" spans="1:21">
      <c r="A13" s="325">
        <f t="shared" ref="A13:A83" si="0">A12+1</f>
        <v>2</v>
      </c>
      <c r="B13" s="396"/>
      <c r="C13" s="60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204"/>
      <c r="R13" s="204"/>
      <c r="S13" s="204"/>
    </row>
    <row r="14" spans="1:21">
      <c r="A14" s="325">
        <f t="shared" si="0"/>
        <v>3</v>
      </c>
      <c r="B14" s="396">
        <v>4030</v>
      </c>
      <c r="C14" s="60" t="s">
        <v>96</v>
      </c>
      <c r="D14" s="782">
        <f>'[10]Div 009'!C114</f>
        <v>1500191.86</v>
      </c>
      <c r="E14" s="782">
        <f>'[10]Div 009'!D114</f>
        <v>1506918.1699999997</v>
      </c>
      <c r="F14" s="782">
        <f>'[10]Div 009'!E114</f>
        <v>1518671.0699999996</v>
      </c>
      <c r="G14" s="782">
        <f>'[10]Div 009'!F114</f>
        <v>1520812.2899999998</v>
      </c>
      <c r="H14" s="782">
        <f>'[10]Div 009'!G114</f>
        <v>1552385.67</v>
      </c>
      <c r="I14" s="782">
        <f>'[10]Div 009'!H114</f>
        <v>1579114.02</v>
      </c>
      <c r="J14" s="782">
        <f>'[11]Div 9'!$I$29</f>
        <v>1578172.95</v>
      </c>
      <c r="K14" s="782">
        <f>'[11]Div 9 Finrep budget'!C$14</f>
        <v>1712080.32903727</v>
      </c>
      <c r="L14" s="782">
        <f>'[11]Div 9 Finrep budget'!D$14</f>
        <v>1476587.50922046</v>
      </c>
      <c r="M14" s="782">
        <f>'[11]Div 9 Finrep budget'!E$14</f>
        <v>1258160.2353352001</v>
      </c>
      <c r="N14" s="782">
        <f>'[11]Div 9 Finrep budget'!F$14</f>
        <v>1503346.99055836</v>
      </c>
      <c r="O14" s="782">
        <f>'[11]Div 9 Finrep budget'!G$14</f>
        <v>1497842.4439481001</v>
      </c>
      <c r="P14" s="204">
        <f t="shared" ref="P14" si="1">SUM(D14:O14)</f>
        <v>18204283.53809939</v>
      </c>
      <c r="Q14" s="918"/>
      <c r="R14" s="287"/>
      <c r="S14" s="287"/>
    </row>
    <row r="15" spans="1:21">
      <c r="A15" s="325">
        <f t="shared" si="0"/>
        <v>4</v>
      </c>
      <c r="B15" s="396">
        <v>4060</v>
      </c>
      <c r="C15" s="204" t="s">
        <v>879</v>
      </c>
      <c r="D15" s="782">
        <f>'[10]Div 009'!C115</f>
        <v>4037.2</v>
      </c>
      <c r="E15" s="782">
        <f>'[10]Div 009'!D115</f>
        <v>4037.2</v>
      </c>
      <c r="F15" s="782">
        <f>'[10]Div 009'!E115</f>
        <v>4037.2</v>
      </c>
      <c r="G15" s="782">
        <f>'[10]Div 009'!F115</f>
        <v>4037.2</v>
      </c>
      <c r="H15" s="782">
        <f>'[10]Div 009'!G115</f>
        <v>4037.2</v>
      </c>
      <c r="I15" s="782">
        <f>'[10]Div 009'!H115</f>
        <v>4037.2</v>
      </c>
      <c r="J15" s="782">
        <f>I15</f>
        <v>4037.2</v>
      </c>
      <c r="K15" s="782">
        <f t="shared" ref="K15:O15" si="2">J15</f>
        <v>4037.2</v>
      </c>
      <c r="L15" s="782">
        <f t="shared" si="2"/>
        <v>4037.2</v>
      </c>
      <c r="M15" s="782">
        <f t="shared" si="2"/>
        <v>4037.2</v>
      </c>
      <c r="N15" s="782">
        <f t="shared" si="2"/>
        <v>4037.2</v>
      </c>
      <c r="O15" s="782">
        <f t="shared" si="2"/>
        <v>4037.2</v>
      </c>
      <c r="P15" s="204">
        <f t="shared" ref="P15:P64" si="3">SUM(D15:O15)</f>
        <v>48446.399999999994</v>
      </c>
      <c r="R15" s="771"/>
      <c r="S15" s="204"/>
    </row>
    <row r="16" spans="1:21">
      <c r="A16" s="325">
        <f t="shared" si="0"/>
        <v>5</v>
      </c>
      <c r="B16" s="396">
        <v>4081</v>
      </c>
      <c r="C16" s="287" t="s">
        <v>880</v>
      </c>
      <c r="D16" s="782">
        <f>'[10]Div 009'!C118</f>
        <v>455463.65</v>
      </c>
      <c r="E16" s="782">
        <f>'[10]Div 009'!D118</f>
        <v>551122.26000000013</v>
      </c>
      <c r="F16" s="782">
        <f>'[10]Div 009'!E118</f>
        <v>603830.34000000008</v>
      </c>
      <c r="G16" s="782">
        <f>'[10]Div 009'!F118</f>
        <v>554649.64000000013</v>
      </c>
      <c r="H16" s="782">
        <f>'[10]Div 009'!G118</f>
        <v>583075.11999999976</v>
      </c>
      <c r="I16" s="782">
        <f>'[10]Div 009'!H118</f>
        <v>562687.59999999974</v>
      </c>
      <c r="J16" s="782">
        <f>'C.2.3 B'!I24</f>
        <v>557509.30999999994</v>
      </c>
      <c r="K16" s="782">
        <f>'C.2.3 B'!J24</f>
        <v>532755.3608626331</v>
      </c>
      <c r="L16" s="782">
        <f>'C.2.3 B'!K24</f>
        <v>517484.36086263316</v>
      </c>
      <c r="M16" s="782">
        <f>'C.2.3 B'!L24</f>
        <v>483306.36086263316</v>
      </c>
      <c r="N16" s="782">
        <f>'C.2.3 B'!M24</f>
        <v>540899.3608626331</v>
      </c>
      <c r="O16" s="782">
        <f>'C.2.3 B'!N24</f>
        <v>494761.36086263316</v>
      </c>
      <c r="P16" s="204">
        <f>SUM(D16:O16)</f>
        <v>6437544.724313166</v>
      </c>
      <c r="Q16" s="771"/>
      <c r="R16" s="890"/>
      <c r="S16" s="771"/>
    </row>
    <row r="17" spans="1:25">
      <c r="A17" s="325">
        <f t="shared" si="0"/>
        <v>6</v>
      </c>
      <c r="B17" s="396">
        <v>4800</v>
      </c>
      <c r="C17" s="971" t="s">
        <v>881</v>
      </c>
      <c r="D17" s="782">
        <f>'[10]Div 009'!C133</f>
        <v>-17499149.710000001</v>
      </c>
      <c r="E17" s="782">
        <f>'[10]Div 009'!D133</f>
        <v>-8835751.8200000003</v>
      </c>
      <c r="F17" s="782">
        <f>'[10]Div 009'!E133</f>
        <v>-4807184.55</v>
      </c>
      <c r="G17" s="782">
        <f>'[10]Div 009'!F133</f>
        <v>-3947246.7099999995</v>
      </c>
      <c r="H17" s="782">
        <f>'[10]Div 009'!G133</f>
        <v>-3682775</v>
      </c>
      <c r="I17" s="782">
        <f>'[10]Div 009'!H133</f>
        <v>-3592522.5400000005</v>
      </c>
      <c r="J17" s="123">
        <f>-'[6]Summary of Revenue'!I$11</f>
        <v>-3769417.3919671541</v>
      </c>
      <c r="K17" s="123">
        <f>-'[6]Summary of Revenue'!J$11</f>
        <v>-4724297.1339690275</v>
      </c>
      <c r="L17" s="123">
        <f>-'[6]Summary of Revenue'!K$11</f>
        <v>-8123138.5437027179</v>
      </c>
      <c r="M17" s="123">
        <f>-'[6]Summary of Revenue'!L$11</f>
        <v>-12098616.986870199</v>
      </c>
      <c r="N17" s="123">
        <f>-'[6]Summary of Revenue'!M$11</f>
        <v>-13698809.21547522</v>
      </c>
      <c r="O17" s="123">
        <f>-'[6]Summary of Revenue'!N$11</f>
        <v>-13428215.027079664</v>
      </c>
      <c r="P17" s="287">
        <f t="shared" si="3"/>
        <v>-98207124.629063994</v>
      </c>
      <c r="Q17" s="204"/>
      <c r="R17" s="204"/>
      <c r="S17" s="204"/>
    </row>
    <row r="18" spans="1:25">
      <c r="A18" s="325">
        <f t="shared" si="0"/>
        <v>7</v>
      </c>
      <c r="B18" s="942">
        <v>4805</v>
      </c>
      <c r="C18" s="474" t="s">
        <v>1357</v>
      </c>
      <c r="D18" s="782">
        <f>'[10]Div 009'!C134</f>
        <v>2497143.59</v>
      </c>
      <c r="E18" s="782">
        <f>'[10]Div 009'!D134</f>
        <v>2805243</v>
      </c>
      <c r="F18" s="782">
        <f>'[10]Div 009'!E134</f>
        <v>1117326</v>
      </c>
      <c r="G18" s="782">
        <f>'[10]Div 009'!F134</f>
        <v>211816.98</v>
      </c>
      <c r="H18" s="782">
        <f>'[10]Div 009'!G134</f>
        <v>161218.25</v>
      </c>
      <c r="I18" s="782">
        <f>'[10]Div 009'!H134</f>
        <v>-5454.23</v>
      </c>
      <c r="J18" s="123"/>
      <c r="K18" s="123"/>
      <c r="L18" s="123"/>
      <c r="M18" s="123"/>
      <c r="N18" s="123"/>
      <c r="O18" s="123"/>
      <c r="P18" s="287">
        <f t="shared" si="3"/>
        <v>6787293.5899999999</v>
      </c>
      <c r="Q18" s="204"/>
      <c r="R18" s="204"/>
      <c r="S18" s="204"/>
    </row>
    <row r="19" spans="1:25">
      <c r="A19" s="325">
        <f t="shared" si="0"/>
        <v>8</v>
      </c>
      <c r="B19" s="396">
        <v>4811</v>
      </c>
      <c r="C19" s="971" t="s">
        <v>1446</v>
      </c>
      <c r="D19" s="782">
        <f>'[10]Div 009'!C135</f>
        <v>-7186235.0599999996</v>
      </c>
      <c r="E19" s="782">
        <f>'[10]Div 009'!D135</f>
        <v>-3658789.95</v>
      </c>
      <c r="F19" s="782">
        <f>'[10]Div 009'!E135</f>
        <v>-2042626.48</v>
      </c>
      <c r="G19" s="782">
        <f>'[10]Div 009'!F135</f>
        <v>-1726997.6099999999</v>
      </c>
      <c r="H19" s="782">
        <f>'[10]Div 009'!G135</f>
        <v>-1684522.5299999998</v>
      </c>
      <c r="I19" s="782">
        <f>'[10]Div 009'!H135</f>
        <v>-1618594.2600000002</v>
      </c>
      <c r="J19" s="123">
        <f>-'[6]Summary of Revenue'!I$12</f>
        <v>-1639454.8258469263</v>
      </c>
      <c r="K19" s="123">
        <f>-'[6]Summary of Revenue'!J$12</f>
        <v>-1992149.4207614509</v>
      </c>
      <c r="L19" s="123">
        <f>-'[6]Summary of Revenue'!K$12</f>
        <v>-3330415.8081927942</v>
      </c>
      <c r="M19" s="123">
        <f>-'[6]Summary of Revenue'!L$12</f>
        <v>-4916730.1715475917</v>
      </c>
      <c r="N19" s="123">
        <f>-'[6]Summary of Revenue'!M$12</f>
        <v>-5565913.3252026541</v>
      </c>
      <c r="O19" s="123">
        <f>-'[6]Summary of Revenue'!N$12</f>
        <v>-5588310.9527499313</v>
      </c>
      <c r="P19" s="287">
        <f t="shared" si="3"/>
        <v>-40950740.394301347</v>
      </c>
      <c r="Q19" s="204"/>
      <c r="R19" s="771"/>
      <c r="S19" s="204"/>
    </row>
    <row r="20" spans="1:25">
      <c r="A20" s="325">
        <f t="shared" si="0"/>
        <v>9</v>
      </c>
      <c r="B20" s="396">
        <v>4812</v>
      </c>
      <c r="C20" s="287" t="s">
        <v>1447</v>
      </c>
      <c r="D20" s="782">
        <f>'[10]Div 009'!C136</f>
        <v>-1197881.69</v>
      </c>
      <c r="E20" s="782">
        <f>'[10]Div 009'!D136</f>
        <v>-487790.35</v>
      </c>
      <c r="F20" s="782">
        <f>'[10]Div 009'!E136</f>
        <v>-362212.99</v>
      </c>
      <c r="G20" s="782">
        <f>'[10]Div 009'!F136</f>
        <v>-346989.15</v>
      </c>
      <c r="H20" s="782">
        <f>'[10]Div 009'!G136</f>
        <v>-238423.65999999997</v>
      </c>
      <c r="I20" s="782">
        <f>'[10]Div 009'!H136</f>
        <v>-291127.43</v>
      </c>
      <c r="J20" s="123">
        <f>-'[6]Summary of Revenue'!I$13</f>
        <v>-158299.5864816691</v>
      </c>
      <c r="K20" s="123">
        <f>-'[6]Summary of Revenue'!J$13</f>
        <v>-217207.52758358273</v>
      </c>
      <c r="L20" s="123">
        <f>-'[6]Summary of Revenue'!K$13</f>
        <v>-293533.56325164129</v>
      </c>
      <c r="M20" s="123">
        <f>-'[6]Summary of Revenue'!L$13</f>
        <v>-551760.90757530753</v>
      </c>
      <c r="N20" s="123">
        <f>-'[6]Summary of Revenue'!M$13</f>
        <v>-721443.24045955297</v>
      </c>
      <c r="O20" s="123">
        <f>-'[6]Summary of Revenue'!N$13</f>
        <v>-584655.65086196898</v>
      </c>
      <c r="P20" s="287">
        <f t="shared" si="3"/>
        <v>-5451325.746213723</v>
      </c>
      <c r="Q20" s="204"/>
      <c r="R20" s="771"/>
      <c r="S20" s="204"/>
    </row>
    <row r="21" spans="1:25">
      <c r="A21" s="325">
        <f t="shared" si="0"/>
        <v>10</v>
      </c>
      <c r="B21" s="396">
        <v>4815</v>
      </c>
      <c r="C21" s="287" t="s">
        <v>1358</v>
      </c>
      <c r="D21" s="782">
        <f>'[10]Div 009'!C137</f>
        <v>1346282.01</v>
      </c>
      <c r="E21" s="782">
        <f>'[10]Div 009'!D137</f>
        <v>1132848</v>
      </c>
      <c r="F21" s="782">
        <f>'[10]Div 009'!E137</f>
        <v>435895</v>
      </c>
      <c r="G21" s="782">
        <f>'[10]Div 009'!F137</f>
        <v>31310.63</v>
      </c>
      <c r="H21" s="782">
        <f>'[10]Div 009'!G137</f>
        <v>55324.13</v>
      </c>
      <c r="I21" s="782">
        <f>'[10]Div 009'!H137</f>
        <v>-29339.759999999995</v>
      </c>
      <c r="J21" s="123"/>
      <c r="K21" s="123"/>
      <c r="L21" s="123"/>
      <c r="M21" s="123"/>
      <c r="N21" s="123"/>
      <c r="O21" s="123"/>
      <c r="P21" s="287">
        <f t="shared" si="3"/>
        <v>2972320.01</v>
      </c>
      <c r="Q21" s="204"/>
      <c r="R21" s="771"/>
      <c r="S21" s="204"/>
    </row>
    <row r="22" spans="1:25">
      <c r="A22" s="325">
        <f t="shared" si="0"/>
        <v>11</v>
      </c>
      <c r="B22" s="396">
        <v>4816</v>
      </c>
      <c r="C22" s="287" t="s">
        <v>1390</v>
      </c>
      <c r="D22" s="782">
        <f>'[10]Div 009'!C138</f>
        <v>11983.32</v>
      </c>
      <c r="E22" s="782">
        <f>'[10]Div 009'!D138</f>
        <v>-3875.7599999999998</v>
      </c>
      <c r="F22" s="782">
        <f>'[10]Div 009'!E138</f>
        <v>-369.73</v>
      </c>
      <c r="G22" s="782">
        <f>'[10]Div 009'!F138</f>
        <v>27777.65</v>
      </c>
      <c r="H22" s="782">
        <f>'[10]Div 009'!G138</f>
        <v>16652.580000000002</v>
      </c>
      <c r="I22" s="782">
        <f>'[10]Div 009'!H138</f>
        <v>62629.25</v>
      </c>
      <c r="J22" s="123"/>
      <c r="K22" s="123"/>
      <c r="L22" s="123"/>
      <c r="M22" s="123"/>
      <c r="N22" s="123"/>
      <c r="O22" s="123"/>
      <c r="P22" s="287">
        <f t="shared" si="3"/>
        <v>114797.31</v>
      </c>
      <c r="R22" s="771"/>
      <c r="S22" s="204"/>
    </row>
    <row r="23" spans="1:25">
      <c r="A23" s="325">
        <f t="shared" si="0"/>
        <v>12</v>
      </c>
      <c r="B23" s="396">
        <v>4820</v>
      </c>
      <c r="C23" s="287" t="s">
        <v>882</v>
      </c>
      <c r="D23" s="782">
        <f>'[10]Div 009'!C139</f>
        <v>-1446421.2300000002</v>
      </c>
      <c r="E23" s="782">
        <f>'[10]Div 009'!D139</f>
        <v>-695366.92</v>
      </c>
      <c r="F23" s="782">
        <f>'[10]Div 009'!E139</f>
        <v>-390277.04</v>
      </c>
      <c r="G23" s="782">
        <f>'[10]Div 009'!F139</f>
        <v>-265750.75</v>
      </c>
      <c r="H23" s="782">
        <f>'[10]Div 009'!G139</f>
        <v>-234283.08000000002</v>
      </c>
      <c r="I23" s="782">
        <f>'[10]Div 009'!H139</f>
        <v>-225612.40000000002</v>
      </c>
      <c r="J23" s="123">
        <f>-'[6]Summary of Revenue'!I$14</f>
        <v>-228523.99519115966</v>
      </c>
      <c r="K23" s="123">
        <f>-'[6]Summary of Revenue'!J$14</f>
        <v>-317447.81714359624</v>
      </c>
      <c r="L23" s="123">
        <f>-'[6]Summary of Revenue'!K$14</f>
        <v>-616794.48648853321</v>
      </c>
      <c r="M23" s="123">
        <f>-'[6]Summary of Revenue'!L$14</f>
        <v>-958234.88781337603</v>
      </c>
      <c r="N23" s="123">
        <f>-'[6]Summary of Revenue'!M$14</f>
        <v>-1101190.0667949645</v>
      </c>
      <c r="O23" s="123">
        <f>-'[6]Summary of Revenue'!N$14</f>
        <v>-1073586.2062504529</v>
      </c>
      <c r="P23" s="287">
        <f t="shared" si="3"/>
        <v>-7553488.8796820827</v>
      </c>
      <c r="Q23" s="287"/>
      <c r="R23" s="771"/>
      <c r="S23" s="204"/>
    </row>
    <row r="24" spans="1:25">
      <c r="A24" s="325">
        <f t="shared" si="0"/>
        <v>13</v>
      </c>
      <c r="B24" s="396">
        <v>4825</v>
      </c>
      <c r="C24" s="287" t="s">
        <v>1359</v>
      </c>
      <c r="D24" s="782">
        <f>'[10]Div 009'!C140</f>
        <v>264396.38</v>
      </c>
      <c r="E24" s="782">
        <f>'[10]Div 009'!D140</f>
        <v>244216</v>
      </c>
      <c r="F24" s="782">
        <f>'[10]Div 009'!E140</f>
        <v>77237</v>
      </c>
      <c r="G24" s="782">
        <f>'[10]Div 009'!F140</f>
        <v>28967.09</v>
      </c>
      <c r="H24" s="782">
        <f>'[10]Div 009'!G140</f>
        <v>19607.62</v>
      </c>
      <c r="I24" s="782">
        <f>'[10]Div 009'!H140</f>
        <v>-5230.71</v>
      </c>
      <c r="J24" s="123"/>
      <c r="K24" s="123"/>
      <c r="L24" s="123"/>
      <c r="M24" s="123"/>
      <c r="N24" s="123"/>
      <c r="O24" s="123"/>
      <c r="P24" s="287">
        <f t="shared" si="3"/>
        <v>629193.38</v>
      </c>
      <c r="S24" s="204"/>
    </row>
    <row r="25" spans="1:25">
      <c r="A25" s="325">
        <f t="shared" si="0"/>
        <v>14</v>
      </c>
      <c r="B25" s="396">
        <v>4870</v>
      </c>
      <c r="C25" s="287" t="s">
        <v>235</v>
      </c>
      <c r="D25" s="782">
        <f>'[10]Div 009'!C141</f>
        <v>-201601.71</v>
      </c>
      <c r="E25" s="782">
        <f>'[10]Div 009'!D141</f>
        <v>-223761.32</v>
      </c>
      <c r="F25" s="782">
        <f>'[10]Div 009'!E141</f>
        <v>-89188.51</v>
      </c>
      <c r="G25" s="782">
        <f>'[10]Div 009'!F141</f>
        <v>-60407.39</v>
      </c>
      <c r="H25" s="782">
        <f>'[10]Div 009'!G141</f>
        <v>-59251.95</v>
      </c>
      <c r="I25" s="782">
        <f>'[10]Div 009'!H141</f>
        <v>-46947.86</v>
      </c>
      <c r="J25" s="123">
        <f>-'[6]Summary of Revenue'!I$18</f>
        <v>-44791.383644271991</v>
      </c>
      <c r="K25" s="123">
        <f>-'[6]Summary of Revenue'!J$18</f>
        <v>-45091.96811961769</v>
      </c>
      <c r="L25" s="123">
        <f>-'[6]Summary of Revenue'!K$18</f>
        <v>-56262.756654776204</v>
      </c>
      <c r="M25" s="123">
        <f>-'[6]Summary of Revenue'!L$18</f>
        <v>-96549.413802119583</v>
      </c>
      <c r="N25" s="123">
        <f>-'[6]Summary of Revenue'!M$18</f>
        <v>-143697.08057829188</v>
      </c>
      <c r="O25" s="123">
        <f>-'[6]Summary of Revenue'!N$18</f>
        <v>-162832.31072609653</v>
      </c>
      <c r="P25" s="287">
        <f t="shared" si="3"/>
        <v>-1230383.6535251739</v>
      </c>
      <c r="R25" s="204"/>
      <c r="S25" s="204"/>
    </row>
    <row r="26" spans="1:25">
      <c r="A26" s="325">
        <f t="shared" si="0"/>
        <v>15</v>
      </c>
      <c r="B26" s="396">
        <v>4880</v>
      </c>
      <c r="C26" s="287" t="s">
        <v>883</v>
      </c>
      <c r="D26" s="782">
        <f>'[10]Div 009'!C142</f>
        <v>-61994.87</v>
      </c>
      <c r="E26" s="782">
        <f>'[10]Div 009'!D142</f>
        <v>-55114</v>
      </c>
      <c r="F26" s="782">
        <f>'[10]Div 009'!E142</f>
        <v>-56775</v>
      </c>
      <c r="G26" s="782">
        <f>'[10]Div 009'!F142</f>
        <v>-53153</v>
      </c>
      <c r="H26" s="782">
        <f>'[10]Div 009'!G142</f>
        <v>-52376</v>
      </c>
      <c r="I26" s="782">
        <f>'[10]Div 009'!H142</f>
        <v>-49804.14</v>
      </c>
      <c r="J26" s="123">
        <f>-'[6]Summary of Revenue'!I$19</f>
        <v>-61445</v>
      </c>
      <c r="K26" s="123">
        <f>-'[6]Summary of Revenue'!J$19</f>
        <v>-120749</v>
      </c>
      <c r="L26" s="123">
        <f>-'[6]Summary of Revenue'!K$19</f>
        <v>-125695</v>
      </c>
      <c r="M26" s="123">
        <f>-'[6]Summary of Revenue'!L$19</f>
        <v>-56798</v>
      </c>
      <c r="N26" s="123">
        <f>-'[6]Summary of Revenue'!M$19</f>
        <v>-53861</v>
      </c>
      <c r="O26" s="123">
        <f>-'[6]Summary of Revenue'!N$19</f>
        <v>-48764</v>
      </c>
      <c r="P26" s="287">
        <f t="shared" si="3"/>
        <v>-796529.01</v>
      </c>
      <c r="R26" s="204"/>
      <c r="S26" s="204"/>
    </row>
    <row r="27" spans="1:25">
      <c r="A27" s="325">
        <f t="shared" si="0"/>
        <v>16</v>
      </c>
      <c r="B27" s="396">
        <v>4893</v>
      </c>
      <c r="C27" s="204" t="s">
        <v>1231</v>
      </c>
      <c r="D27" s="782">
        <f>'[10]Div 009'!C143</f>
        <v>-1391289.63</v>
      </c>
      <c r="E27" s="782">
        <f>'[10]Div 009'!D143</f>
        <v>-1208824.44</v>
      </c>
      <c r="F27" s="782">
        <f>'[10]Div 009'!E143</f>
        <v>-1170378.6300000001</v>
      </c>
      <c r="G27" s="782">
        <f>'[10]Div 009'!F143</f>
        <v>-1061614.27</v>
      </c>
      <c r="H27" s="782">
        <f>'[10]Div 009'!G143</f>
        <v>-1069176.8499999999</v>
      </c>
      <c r="I27" s="782">
        <f>'[10]Div 009'!H143</f>
        <v>-1130107.73</v>
      </c>
      <c r="J27" s="123">
        <f>-'[6]Summary of Revenue'!I$20</f>
        <v>-1050910.6894999999</v>
      </c>
      <c r="K27" s="123">
        <f>-'[6]Summary of Revenue'!J$20</f>
        <v>-1190909.3454499999</v>
      </c>
      <c r="L27" s="123">
        <f>-'[6]Summary of Revenue'!K$20</f>
        <v>-1319362.7035000001</v>
      </c>
      <c r="M27" s="123">
        <f>-'[6]Summary of Revenue'!L$20</f>
        <v>-1329060.5179000003</v>
      </c>
      <c r="N27" s="123">
        <f>-'[6]Summary of Revenue'!M$20</f>
        <v>-1473667.6765999999</v>
      </c>
      <c r="O27" s="123">
        <f>-'[6]Summary of Revenue'!N$20</f>
        <v>-1424542.7038</v>
      </c>
      <c r="P27" s="287">
        <f t="shared" ref="P27:P30" si="4">SUM(D27:O27)</f>
        <v>-14819845.18675</v>
      </c>
      <c r="Q27" s="1115"/>
      <c r="R27" s="106"/>
      <c r="S27" s="106"/>
      <c r="T27" s="106"/>
      <c r="U27" s="106"/>
      <c r="V27" s="106"/>
      <c r="W27" s="106"/>
      <c r="X27" s="106"/>
      <c r="Y27" s="106"/>
    </row>
    <row r="28" spans="1:25">
      <c r="A28" s="325">
        <f t="shared" si="0"/>
        <v>17</v>
      </c>
      <c r="B28" s="1052">
        <v>4950</v>
      </c>
      <c r="C28" s="107" t="s">
        <v>678</v>
      </c>
      <c r="D28" s="782"/>
      <c r="E28" s="782"/>
      <c r="F28" s="782"/>
      <c r="G28" s="782"/>
      <c r="H28" s="782"/>
      <c r="I28" s="782"/>
      <c r="J28" s="123">
        <f>-'[6]Summary of Revenue'!I21</f>
        <v>-197356.58499999999</v>
      </c>
      <c r="K28" s="123">
        <f>-'[6]Summary of Revenue'!J21</f>
        <v>-213502.51250000004</v>
      </c>
      <c r="L28" s="123">
        <f>-'[6]Summary of Revenue'!K21</f>
        <v>-225558.07250000001</v>
      </c>
      <c r="M28" s="123">
        <f>-'[6]Summary of Revenue'!L21</f>
        <v>-235550.01249999998</v>
      </c>
      <c r="N28" s="123">
        <f>-'[6]Summary of Revenue'!M21</f>
        <v>-252288.6275</v>
      </c>
      <c r="O28" s="123">
        <f>-'[6]Summary of Revenue'!N21</f>
        <v>-241810.63249999995</v>
      </c>
      <c r="P28" s="287">
        <f t="shared" si="4"/>
        <v>-1366066.4424999999</v>
      </c>
      <c r="Q28" s="966"/>
    </row>
    <row r="29" spans="1:25">
      <c r="A29" s="325">
        <f t="shared" si="0"/>
        <v>18</v>
      </c>
      <c r="B29" s="396">
        <v>7560</v>
      </c>
      <c r="C29" s="106" t="s">
        <v>1455</v>
      </c>
      <c r="D29" s="782">
        <f>'[10]Div 009'!C144</f>
        <v>46.94</v>
      </c>
      <c r="E29" s="782">
        <f>'[10]Div 009'!D144</f>
        <v>0</v>
      </c>
      <c r="F29" s="782">
        <f>'[10]Div 009'!E144</f>
        <v>0</v>
      </c>
      <c r="G29" s="782">
        <f>'[10]Div 009'!F144</f>
        <v>0</v>
      </c>
      <c r="H29" s="782">
        <f>'[10]Div 009'!G144</f>
        <v>0</v>
      </c>
      <c r="I29" s="782">
        <f>'[10]Div 009'!H145</f>
        <v>0</v>
      </c>
      <c r="J29" s="520">
        <f>VLOOKUP($B29,'[12]Div 9 forecast'!$D$436:$AF$517, 9,FALSE)</f>
        <v>8.915354938543171</v>
      </c>
      <c r="K29" s="520">
        <f>VLOOKUP($B29,'[12]Div 9 forecast'!$D$436:$AF$517, 10,FALSE)</f>
        <v>8.8377941224042225</v>
      </c>
      <c r="L29" s="520">
        <f>VLOOKUP($B29,'[12]Div 9 forecast'!$D$436:$AF$517, 11,FALSE)</f>
        <v>8.3011196961340818</v>
      </c>
      <c r="M29" s="520">
        <f>VLOOKUP($B29,'[12]Div 9 forecast'!$D$436:$AF$517, 12,FALSE)</f>
        <v>8.3669483782588046</v>
      </c>
      <c r="N29" s="520">
        <f>VLOOKUP($B29,'[12]Div 9 forecast'!$D$436:$AF$517, 13,FALSE)</f>
        <v>8.2476765586461607</v>
      </c>
      <c r="O29" s="520">
        <f>VLOOKUP($B29,'[12]Div 9 forecast'!$D$436:$AF$517, 14,FALSE)</f>
        <v>7.8998085451070725</v>
      </c>
      <c r="P29" s="287">
        <f t="shared" si="4"/>
        <v>97.508702239093509</v>
      </c>
      <c r="S29" s="204"/>
    </row>
    <row r="30" spans="1:25" s="1051" customFormat="1">
      <c r="A30" s="325">
        <f t="shared" si="0"/>
        <v>19</v>
      </c>
      <c r="B30" s="396">
        <v>7590</v>
      </c>
      <c r="C30" s="130" t="s">
        <v>1401</v>
      </c>
      <c r="D30" s="782"/>
      <c r="E30" s="782"/>
      <c r="F30" s="782"/>
      <c r="G30" s="782"/>
      <c r="H30" s="782"/>
      <c r="I30" s="782"/>
      <c r="J30" s="520">
        <f>VLOOKUP($B30,'[12]Div 9 forecast'!$D$437:$AF$517, 9,FALSE)</f>
        <v>0</v>
      </c>
      <c r="K30" s="520">
        <f>VLOOKUP($B30,'[12]Div 9 forecast'!$D$437:$AF$517, 10,FALSE)</f>
        <v>0</v>
      </c>
      <c r="L30" s="520">
        <f>VLOOKUP($B30,'[12]Div 9 forecast'!$D$437:$AF$517, 11,FALSE)</f>
        <v>0</v>
      </c>
      <c r="M30" s="520">
        <f>VLOOKUP($B30,'[12]Div 9 forecast'!$D$437:$AF$517, 12,FALSE)</f>
        <v>0</v>
      </c>
      <c r="N30" s="520">
        <f>VLOOKUP($B30,'[12]Div 9 forecast'!$D$437:$AF$517, 13,FALSE)</f>
        <v>0</v>
      </c>
      <c r="O30" s="520">
        <f>VLOOKUP($B30,'[12]Div 9 forecast'!$D$437:$AF$517, 14,FALSE)</f>
        <v>0</v>
      </c>
      <c r="P30" s="287">
        <f t="shared" si="4"/>
        <v>0</v>
      </c>
      <c r="S30" s="204"/>
    </row>
    <row r="31" spans="1:25">
      <c r="A31" s="325">
        <f t="shared" si="0"/>
        <v>20</v>
      </c>
      <c r="B31" s="396">
        <v>8001</v>
      </c>
      <c r="C31" s="204" t="s">
        <v>885</v>
      </c>
      <c r="D31" s="782">
        <f>'[10]Div 009'!C145</f>
        <v>283919.86</v>
      </c>
      <c r="E31" s="782">
        <f>'[10]Div 009'!D145</f>
        <v>308563.48</v>
      </c>
      <c r="F31" s="782">
        <f>'[10]Div 009'!E145</f>
        <v>0</v>
      </c>
      <c r="G31" s="782">
        <f>'[10]Div 009'!F145</f>
        <v>0</v>
      </c>
      <c r="H31" s="782">
        <f>'[10]Div 009'!G145</f>
        <v>0</v>
      </c>
      <c r="I31" s="782">
        <f>'[10]Div 009'!H145</f>
        <v>0</v>
      </c>
      <c r="J31" s="123">
        <f>'[13]2015 case'!O7</f>
        <v>0</v>
      </c>
      <c r="K31" s="123">
        <f>'[13]2015 case'!P7</f>
        <v>0</v>
      </c>
      <c r="L31" s="123">
        <f>'[13]2015 case'!Q7</f>
        <v>0</v>
      </c>
      <c r="M31" s="123">
        <f>'[13]2015 case'!R7</f>
        <v>139713.86778650412</v>
      </c>
      <c r="N31" s="123">
        <f>'[13]2015 case'!S7</f>
        <v>85207.997388707037</v>
      </c>
      <c r="O31" s="123">
        <f>'[13]2015 case'!T7</f>
        <v>389932.36753601005</v>
      </c>
      <c r="P31" s="287">
        <f t="shared" si="3"/>
        <v>1207337.5727112212</v>
      </c>
      <c r="Q31" s="771"/>
      <c r="R31" s="771"/>
      <c r="S31" s="204"/>
    </row>
    <row r="32" spans="1:25">
      <c r="A32" s="325">
        <f t="shared" si="0"/>
        <v>21</v>
      </c>
      <c r="B32" s="396">
        <v>8010</v>
      </c>
      <c r="C32" s="119" t="s">
        <v>1229</v>
      </c>
      <c r="D32" s="782">
        <f>'[10]Div 009'!C146</f>
        <v>12478.22</v>
      </c>
      <c r="E32" s="782">
        <f>'[10]Div 009'!D146</f>
        <v>9142.89</v>
      </c>
      <c r="F32" s="782">
        <f>'[10]Div 009'!E146</f>
        <v>5884.15</v>
      </c>
      <c r="G32" s="782">
        <f>'[10]Div 009'!F146</f>
        <v>5792.12</v>
      </c>
      <c r="H32" s="782">
        <f>'[10]Div 009'!G146</f>
        <v>5654.6</v>
      </c>
      <c r="I32" s="782">
        <f>'[10]Div 009'!H146</f>
        <v>5582.17</v>
      </c>
      <c r="J32" s="123">
        <f>'[13]2015 case'!O8</f>
        <v>6574.868896686231</v>
      </c>
      <c r="K32" s="123">
        <f>'[13]2015 case'!P8</f>
        <v>3926.8162225257174</v>
      </c>
      <c r="L32" s="123">
        <f>'[13]2015 case'!Q8</f>
        <v>5305.4370163802487</v>
      </c>
      <c r="M32" s="123">
        <f>'[13]2015 case'!R8</f>
        <v>4775.084674783936</v>
      </c>
      <c r="N32" s="123">
        <f>'[13]2015 case'!S8</f>
        <v>4710.5495386244729</v>
      </c>
      <c r="O32" s="123">
        <f>'[13]2015 case'!T8</f>
        <v>3297.347187186982</v>
      </c>
      <c r="P32" s="287">
        <f t="shared" ref="P32" si="5">SUM(D32:O32)</f>
        <v>73124.253536187593</v>
      </c>
      <c r="Q32" s="204"/>
      <c r="R32" s="204"/>
      <c r="S32" s="204"/>
    </row>
    <row r="33" spans="1:19">
      <c r="A33" s="325">
        <f t="shared" si="0"/>
        <v>22</v>
      </c>
      <c r="B33" s="396">
        <v>8040</v>
      </c>
      <c r="C33" s="204" t="s">
        <v>886</v>
      </c>
      <c r="D33" s="782">
        <f>'[10]Div 009'!C147</f>
        <v>5149422.08</v>
      </c>
      <c r="E33" s="782">
        <f>'[10]Div 009'!D147</f>
        <v>1646030.6600000001</v>
      </c>
      <c r="F33" s="782">
        <f>'[10]Div 009'!E147</f>
        <v>5591672.6000000006</v>
      </c>
      <c r="G33" s="782">
        <f>'[10]Div 009'!F147</f>
        <v>4195844.6000000006</v>
      </c>
      <c r="H33" s="782">
        <f>'[10]Div 009'!G147</f>
        <v>4747563.33</v>
      </c>
      <c r="I33" s="782">
        <f>'[10]Div 009'!H147</f>
        <v>4098565.67</v>
      </c>
      <c r="J33" s="123">
        <f>'[13]2015 case'!O9</f>
        <v>3843168.3650242626</v>
      </c>
      <c r="K33" s="123">
        <f>'[13]2015 case'!P9</f>
        <v>3805125.9183895686</v>
      </c>
      <c r="L33" s="123">
        <f>'[13]2015 case'!Q9</f>
        <v>4894527.117914536</v>
      </c>
      <c r="M33" s="123">
        <f>'[13]2015 case'!R9</f>
        <v>4533023.0958209466</v>
      </c>
      <c r="N33" s="123">
        <f>'[13]2015 case'!S9</f>
        <v>3647077.8894252698</v>
      </c>
      <c r="O33" s="123">
        <f>'[13]2015 case'!T9</f>
        <v>2292789.2263635383</v>
      </c>
      <c r="P33" s="287">
        <f t="shared" si="3"/>
        <v>48444810.552938133</v>
      </c>
      <c r="Q33" s="204"/>
      <c r="R33" s="771"/>
      <c r="S33" s="204"/>
    </row>
    <row r="34" spans="1:19">
      <c r="A34" s="325">
        <f t="shared" si="0"/>
        <v>23</v>
      </c>
      <c r="B34" s="396">
        <v>8050</v>
      </c>
      <c r="C34" s="204" t="s">
        <v>887</v>
      </c>
      <c r="D34" s="782">
        <f>'[10]Div 009'!C148</f>
        <v>31610.82</v>
      </c>
      <c r="E34" s="782">
        <f>'[10]Div 009'!D148</f>
        <v>-11.62</v>
      </c>
      <c r="F34" s="782">
        <f>'[10]Div 009'!E148</f>
        <v>-765.92</v>
      </c>
      <c r="G34" s="782">
        <f>'[10]Div 009'!F148</f>
        <v>-880.49</v>
      </c>
      <c r="H34" s="782">
        <f>'[10]Div 009'!G148</f>
        <v>-2487.39</v>
      </c>
      <c r="I34" s="782">
        <f>'[10]Div 009'!H148</f>
        <v>-1631.6</v>
      </c>
      <c r="J34" s="123">
        <f>'[13]2015 case'!O10</f>
        <v>-206.74098814949014</v>
      </c>
      <c r="K34" s="123">
        <f>'[13]2015 case'!P10</f>
        <v>-14.222396678388668</v>
      </c>
      <c r="L34" s="123">
        <f>'[13]2015 case'!Q10</f>
        <v>-20.610106604216238</v>
      </c>
      <c r="M34" s="123">
        <f>'[13]2015 case'!R10</f>
        <v>0</v>
      </c>
      <c r="N34" s="123">
        <f>'[13]2015 case'!S10</f>
        <v>0</v>
      </c>
      <c r="O34" s="123">
        <f>'[13]2015 case'!T10</f>
        <v>-221.20715642082789</v>
      </c>
      <c r="P34" s="287">
        <f t="shared" si="3"/>
        <v>25371.019352147079</v>
      </c>
      <c r="Q34" s="204"/>
      <c r="R34" s="771"/>
      <c r="S34" s="204"/>
    </row>
    <row r="35" spans="1:19">
      <c r="A35" s="325">
        <f t="shared" si="0"/>
        <v>24</v>
      </c>
      <c r="B35" s="396">
        <v>8051</v>
      </c>
      <c r="C35" s="204" t="s">
        <v>888</v>
      </c>
      <c r="D35" s="782">
        <f>'[10]Div 009'!C149</f>
        <v>12663742.939999999</v>
      </c>
      <c r="E35" s="782">
        <f>'[10]Div 009'!D149</f>
        <v>4789926.13</v>
      </c>
      <c r="F35" s="782">
        <f>'[10]Div 009'!E149</f>
        <v>1691271.03</v>
      </c>
      <c r="G35" s="782">
        <f>'[10]Div 009'!F149</f>
        <v>1010733.82</v>
      </c>
      <c r="H35" s="782">
        <f>'[10]Div 009'!G149</f>
        <v>814974.36</v>
      </c>
      <c r="I35" s="782">
        <f>'[10]Div 009'!H149</f>
        <v>735807.38</v>
      </c>
      <c r="J35" s="123">
        <f>'[13]2015 case'!O11</f>
        <v>666727.55310394708</v>
      </c>
      <c r="K35" s="123">
        <f>'[13]2015 case'!P11</f>
        <v>864160.974106682</v>
      </c>
      <c r="L35" s="123">
        <f>'[13]2015 case'!Q11</f>
        <v>2875147.9039577646</v>
      </c>
      <c r="M35" s="123">
        <f>'[13]2015 case'!R11</f>
        <v>6250587.2049782341</v>
      </c>
      <c r="N35" s="123">
        <f>'[13]2015 case'!S11</f>
        <v>7694660.3654929958</v>
      </c>
      <c r="O35" s="123">
        <f>'[13]2015 case'!T11</f>
        <v>8049972.4740340738</v>
      </c>
      <c r="P35" s="287">
        <f t="shared" si="3"/>
        <v>48107712.135673694</v>
      </c>
      <c r="Q35" s="204"/>
      <c r="R35" s="204"/>
      <c r="S35" s="204"/>
    </row>
    <row r="36" spans="1:19">
      <c r="A36" s="325">
        <f t="shared" si="0"/>
        <v>25</v>
      </c>
      <c r="B36" s="396">
        <v>8052</v>
      </c>
      <c r="C36" s="204" t="s">
        <v>889</v>
      </c>
      <c r="D36" s="782">
        <f>'[10]Div 009'!C150</f>
        <v>5498969.8499999996</v>
      </c>
      <c r="E36" s="782">
        <f>'[10]Div 009'!D150</f>
        <v>2291650.2599999998</v>
      </c>
      <c r="F36" s="782">
        <f>'[10]Div 009'!E150</f>
        <v>1026586.75</v>
      </c>
      <c r="G36" s="782">
        <f>'[10]Div 009'!F150</f>
        <v>770086.28</v>
      </c>
      <c r="H36" s="782">
        <f>'[10]Div 009'!G150</f>
        <v>725981.62</v>
      </c>
      <c r="I36" s="782">
        <f>'[10]Div 009'!H150</f>
        <v>687353.88</v>
      </c>
      <c r="J36" s="123">
        <f>'[13]2015 case'!O12</f>
        <v>704302.07850785134</v>
      </c>
      <c r="K36" s="123">
        <f>'[13]2015 case'!P12</f>
        <v>866862.05559797469</v>
      </c>
      <c r="L36" s="123">
        <f>'[13]2015 case'!Q12</f>
        <v>1288479.2884725695</v>
      </c>
      <c r="M36" s="123">
        <f>'[13]2015 case'!R12</f>
        <v>2698180.2231114516</v>
      </c>
      <c r="N36" s="123">
        <f>'[13]2015 case'!S12</f>
        <v>3387764.019769303</v>
      </c>
      <c r="O36" s="123">
        <f>'[13]2015 case'!T12</f>
        <v>3554595.5251892554</v>
      </c>
      <c r="P36" s="287">
        <f t="shared" si="3"/>
        <v>23500811.830648404</v>
      </c>
      <c r="Q36" s="204"/>
      <c r="R36" s="204"/>
      <c r="S36" s="204"/>
    </row>
    <row r="37" spans="1:19">
      <c r="A37" s="325">
        <f t="shared" si="0"/>
        <v>26</v>
      </c>
      <c r="B37" s="396">
        <v>8053</v>
      </c>
      <c r="C37" s="204" t="s">
        <v>890</v>
      </c>
      <c r="D37" s="782">
        <f>'[10]Div 009'!C151</f>
        <v>1013091.73</v>
      </c>
      <c r="E37" s="782">
        <f>'[10]Div 009'!D151</f>
        <v>416471.71</v>
      </c>
      <c r="F37" s="782">
        <f>'[10]Div 009'!E151</f>
        <v>308587.78999999998</v>
      </c>
      <c r="G37" s="782">
        <f>'[10]Div 009'!F151</f>
        <v>278354.96999999997</v>
      </c>
      <c r="H37" s="782">
        <f>'[10]Div 009'!G151</f>
        <v>172149.93</v>
      </c>
      <c r="I37" s="782">
        <f>'[10]Div 009'!H151</f>
        <v>219343.32</v>
      </c>
      <c r="J37" s="123">
        <f>'[13]2015 case'!O13</f>
        <v>132738.87645052664</v>
      </c>
      <c r="K37" s="123">
        <f>'[13]2015 case'!P13</f>
        <v>182226.74813356285</v>
      </c>
      <c r="L37" s="123">
        <f>'[13]2015 case'!Q13</f>
        <v>216172.4081882684</v>
      </c>
      <c r="M37" s="123">
        <f>'[13]2015 case'!R13</f>
        <v>409934.80745718448</v>
      </c>
      <c r="N37" s="123">
        <f>'[13]2015 case'!S13</f>
        <v>505366.74834123888</v>
      </c>
      <c r="O37" s="123">
        <f>'[13]2015 case'!T13</f>
        <v>522011.99170213938</v>
      </c>
      <c r="P37" s="287">
        <f t="shared" si="3"/>
        <v>4376451.0302729206</v>
      </c>
      <c r="Q37" s="204"/>
      <c r="R37" s="204"/>
      <c r="S37" s="204"/>
    </row>
    <row r="38" spans="1:19">
      <c r="A38" s="325">
        <f t="shared" si="0"/>
        <v>27</v>
      </c>
      <c r="B38" s="396">
        <v>8054</v>
      </c>
      <c r="C38" s="204" t="s">
        <v>891</v>
      </c>
      <c r="D38" s="782">
        <f>'[10]Div 009'!C152</f>
        <v>1193064.04</v>
      </c>
      <c r="E38" s="782">
        <f>'[10]Div 009'!D152</f>
        <v>500918.35</v>
      </c>
      <c r="F38" s="782">
        <f>'[10]Div 009'!E152</f>
        <v>259798.57</v>
      </c>
      <c r="G38" s="782">
        <f>'[10]Div 009'!F152</f>
        <v>158243.89000000001</v>
      </c>
      <c r="H38" s="782">
        <f>'[10]Div 009'!G152</f>
        <v>132851.9</v>
      </c>
      <c r="I38" s="782">
        <f>'[10]Div 009'!H152</f>
        <v>122285.33</v>
      </c>
      <c r="J38" s="123">
        <f>'[13]2015 case'!O14</f>
        <v>132093.98128825889</v>
      </c>
      <c r="K38" s="123">
        <f>'[13]2015 case'!P14</f>
        <v>158661.40528045557</v>
      </c>
      <c r="L38" s="123">
        <f>'[13]2015 case'!Q14</f>
        <v>282861.75985433656</v>
      </c>
      <c r="M38" s="123">
        <f>'[13]2015 case'!R14</f>
        <v>589295.41432492703</v>
      </c>
      <c r="N38" s="123">
        <f>'[13]2015 case'!S14</f>
        <v>728249.21026278089</v>
      </c>
      <c r="O38" s="123">
        <f>'[13]2015 case'!T14</f>
        <v>778473.05475646944</v>
      </c>
      <c r="P38" s="287">
        <f t="shared" si="3"/>
        <v>5036796.9057672285</v>
      </c>
      <c r="Q38" s="204"/>
      <c r="S38" s="204"/>
    </row>
    <row r="39" spans="1:19">
      <c r="A39" s="325">
        <f t="shared" si="0"/>
        <v>28</v>
      </c>
      <c r="B39" s="396">
        <v>8058</v>
      </c>
      <c r="C39" s="204" t="s">
        <v>892</v>
      </c>
      <c r="D39" s="782">
        <f>'[10]Div 009'!C153</f>
        <v>-4070155.54</v>
      </c>
      <c r="E39" s="782">
        <f>'[10]Div 009'!D153</f>
        <v>-3421339.03</v>
      </c>
      <c r="F39" s="782">
        <f>'[10]Div 009'!E153</f>
        <v>-1284236.83</v>
      </c>
      <c r="G39" s="782">
        <f>'[10]Div 009'!F153</f>
        <v>-235913.03000000003</v>
      </c>
      <c r="H39" s="782">
        <f>'[10]Div 009'!G153</f>
        <v>-219303.78</v>
      </c>
      <c r="I39" s="782">
        <f>'[10]Div 009'!H153</f>
        <v>-2498.3800000000047</v>
      </c>
      <c r="J39" s="123">
        <f>'[13]2015 case'!O15</f>
        <v>-40349.239656918558</v>
      </c>
      <c r="K39" s="123">
        <f>'[13]2015 case'!P15</f>
        <v>618171.6511195323</v>
      </c>
      <c r="L39" s="123">
        <f>'[13]2015 case'!Q15</f>
        <v>1967607.2338641433</v>
      </c>
      <c r="M39" s="123">
        <f>'[13]2015 case'!R15</f>
        <v>1326548.7236364048</v>
      </c>
      <c r="N39" s="123">
        <f>'[13]2015 case'!S15</f>
        <v>941835.42893156083</v>
      </c>
      <c r="O39" s="123">
        <f>'[13]2015 case'!T15</f>
        <v>440795.30319415504</v>
      </c>
      <c r="P39" s="287">
        <f t="shared" si="3"/>
        <v>-3978837.4889111212</v>
      </c>
      <c r="Q39" s="204"/>
      <c r="R39" s="204"/>
      <c r="S39" s="204"/>
    </row>
    <row r="40" spans="1:19">
      <c r="A40" s="325">
        <f t="shared" si="0"/>
        <v>29</v>
      </c>
      <c r="B40" s="396">
        <v>8059</v>
      </c>
      <c r="C40" s="204" t="s">
        <v>893</v>
      </c>
      <c r="D40" s="782">
        <f>'[10]Div 009'!C154</f>
        <v>-16484690.699999999</v>
      </c>
      <c r="E40" s="782">
        <f>'[10]Div 009'!D154</f>
        <v>-9889925.5700000003</v>
      </c>
      <c r="F40" s="782">
        <f>'[10]Div 009'!E154</f>
        <v>-4545617.1100000003</v>
      </c>
      <c r="G40" s="782">
        <f>'[10]Div 009'!F154</f>
        <v>-2829673.48</v>
      </c>
      <c r="H40" s="782">
        <f>'[10]Div 009'!G154</f>
        <v>-2925871.39</v>
      </c>
      <c r="I40" s="782">
        <f>'[10]Div 009'!H154</f>
        <v>-2689152.57</v>
      </c>
      <c r="J40" s="123">
        <f>'[13]2015 case'!O16</f>
        <v>-1800709.8889656393</v>
      </c>
      <c r="K40" s="123">
        <f>'[13]2015 case'!P16</f>
        <v>-1945995.1370026837</v>
      </c>
      <c r="L40" s="123">
        <f>'[13]2015 case'!Q16</f>
        <v>-3179171.8288907134</v>
      </c>
      <c r="M40" s="123">
        <f>'[13]2015 case'!R16</f>
        <v>-8191662.1064706473</v>
      </c>
      <c r="N40" s="123">
        <f>'[13]2015 case'!S16</f>
        <v>-8356862.926323358</v>
      </c>
      <c r="O40" s="123">
        <f>'[13]2015 case'!T16</f>
        <v>-10752242.069183838</v>
      </c>
      <c r="P40" s="287">
        <f t="shared" si="3"/>
        <v>-73591574.776836872</v>
      </c>
      <c r="Q40" s="204"/>
      <c r="R40" s="204"/>
      <c r="S40" s="204"/>
    </row>
    <row r="41" spans="1:19">
      <c r="A41" s="325">
        <f t="shared" si="0"/>
        <v>30</v>
      </c>
      <c r="B41" s="396">
        <v>8060</v>
      </c>
      <c r="C41" s="204" t="s">
        <v>894</v>
      </c>
      <c r="D41" s="782">
        <f>'[10]Div 009'!C155</f>
        <v>1550074.37</v>
      </c>
      <c r="E41" s="782">
        <f>'[10]Div 009'!D155</f>
        <v>1665423.99</v>
      </c>
      <c r="F41" s="782">
        <f>'[10]Div 009'!E155</f>
        <v>-1053696.3600000001</v>
      </c>
      <c r="G41" s="782">
        <f>'[10]Div 009'!F155</f>
        <v>-987004.77</v>
      </c>
      <c r="H41" s="782">
        <f>'[10]Div 009'!G155</f>
        <v>-1232655.3600000001</v>
      </c>
      <c r="I41" s="782">
        <f>'[10]Div 009'!H155</f>
        <v>-797043.91</v>
      </c>
      <c r="J41" s="123">
        <f>'[13]2015 case'!O17</f>
        <v>-1135851.558477629</v>
      </c>
      <c r="K41" s="123">
        <f>'[13]2015 case'!P17</f>
        <v>-864040.40709471796</v>
      </c>
      <c r="L41" s="123">
        <f>'[13]2015 case'!Q17</f>
        <v>-987736.02240566013</v>
      </c>
      <c r="M41" s="123">
        <f>'[13]2015 case'!R17</f>
        <v>649143.281704308</v>
      </c>
      <c r="N41" s="123">
        <f>'[13]2015 case'!S17</f>
        <v>713964.2378403981</v>
      </c>
      <c r="O41" s="123">
        <f>'[13]2015 case'!T17</f>
        <v>1847744.8045564189</v>
      </c>
      <c r="P41" s="287">
        <f t="shared" si="3"/>
        <v>-631677.70387688209</v>
      </c>
      <c r="Q41" s="204"/>
      <c r="R41" s="204"/>
      <c r="S41" s="204"/>
    </row>
    <row r="42" spans="1:19">
      <c r="A42" s="325">
        <f t="shared" si="0"/>
        <v>31</v>
      </c>
      <c r="B42" s="396">
        <v>8081</v>
      </c>
      <c r="C42" s="204" t="s">
        <v>895</v>
      </c>
      <c r="D42" s="782">
        <f>'[10]Div 009'!C156</f>
        <v>7184511.9900000002</v>
      </c>
      <c r="E42" s="782">
        <f>'[10]Div 009'!D156</f>
        <v>3885976.22</v>
      </c>
      <c r="F42" s="782">
        <f>'[10]Div 009'!E156</f>
        <v>2868.24</v>
      </c>
      <c r="G42" s="782">
        <f>'[10]Div 009'!F156</f>
        <v>0</v>
      </c>
      <c r="H42" s="782">
        <f>'[10]Div 009'!G156</f>
        <v>0</v>
      </c>
      <c r="I42" s="782">
        <f>'[10]Div 009'!H156</f>
        <v>3675.16</v>
      </c>
      <c r="J42" s="123">
        <f>'[13]2015 case'!O18</f>
        <v>0</v>
      </c>
      <c r="K42" s="123">
        <f>'[13]2015 case'!P18</f>
        <v>0</v>
      </c>
      <c r="L42" s="123">
        <f>'[13]2015 case'!Q18</f>
        <v>7020.851446950589</v>
      </c>
      <c r="M42" s="123">
        <f>'[13]2015 case'!R18</f>
        <v>1366450.0332614491</v>
      </c>
      <c r="N42" s="123">
        <f>'[13]2015 case'!S18</f>
        <v>2506972.1407004483</v>
      </c>
      <c r="O42" s="123">
        <f>'[13]2015 case'!T18</f>
        <v>4613244.7086137692</v>
      </c>
      <c r="P42" s="287">
        <f t="shared" si="3"/>
        <v>19570719.344022617</v>
      </c>
      <c r="Q42" s="204"/>
      <c r="R42" s="204"/>
      <c r="S42" s="204"/>
    </row>
    <row r="43" spans="1:19">
      <c r="A43" s="325">
        <f t="shared" si="0"/>
        <v>32</v>
      </c>
      <c r="B43" s="396">
        <v>8082</v>
      </c>
      <c r="C43" s="204" t="s">
        <v>896</v>
      </c>
      <c r="D43" s="782">
        <f>'[10]Div 009'!C157</f>
        <v>-13313.93</v>
      </c>
      <c r="E43" s="782">
        <f>'[10]Div 009'!D157</f>
        <v>-19575.97</v>
      </c>
      <c r="F43" s="782">
        <f>'[10]Div 009'!E157</f>
        <v>-2019076.98</v>
      </c>
      <c r="G43" s="782">
        <f>'[10]Div 009'!F157</f>
        <v>-2027059.2</v>
      </c>
      <c r="H43" s="782">
        <f>'[10]Div 009'!G157</f>
        <v>-2178815.0499999998</v>
      </c>
      <c r="I43" s="782">
        <f>'[10]Div 009'!H157</f>
        <v>-2188764.84</v>
      </c>
      <c r="J43" s="123">
        <f>'[13]2015 case'!O19</f>
        <v>-1844394.7160758334</v>
      </c>
      <c r="K43" s="123">
        <f>'[13]2015 case'!P19</f>
        <v>-1859174.6115852841</v>
      </c>
      <c r="L43" s="123">
        <f>'[13]2015 case'!Q19</f>
        <v>-1911809.4549901001</v>
      </c>
      <c r="M43" s="123">
        <f>'[13]2015 case'!R19</f>
        <v>-39571.199987311862</v>
      </c>
      <c r="N43" s="123">
        <f>'[13]2015 case'!S19</f>
        <v>-23111.416870989146</v>
      </c>
      <c r="O43" s="123">
        <f>'[13]2015 case'!T19</f>
        <v>-2702.2598891013427</v>
      </c>
      <c r="P43" s="287">
        <f t="shared" si="3"/>
        <v>-14127369.62939862</v>
      </c>
      <c r="Q43" s="966"/>
      <c r="S43" s="204"/>
    </row>
    <row r="44" spans="1:19">
      <c r="A44" s="325">
        <f t="shared" si="0"/>
        <v>33</v>
      </c>
      <c r="B44" s="396">
        <v>8120</v>
      </c>
      <c r="C44" s="204" t="s">
        <v>897</v>
      </c>
      <c r="D44" s="782">
        <f>'[10]Div 009'!C158</f>
        <v>-2015.9000000000015</v>
      </c>
      <c r="E44" s="782">
        <f>'[10]Div 009'!D158</f>
        <v>-1412.8099999999995</v>
      </c>
      <c r="F44" s="782">
        <f>'[10]Div 009'!E158</f>
        <v>-678.5</v>
      </c>
      <c r="G44" s="782">
        <f>'[10]Div 009'!F158</f>
        <v>1025.4499999999998</v>
      </c>
      <c r="H44" s="782">
        <f>'[10]Div 009'!G158</f>
        <v>142.77999999999997</v>
      </c>
      <c r="I44" s="782">
        <f>'[10]Div 009'!H158</f>
        <v>83.759999999999991</v>
      </c>
      <c r="J44" s="123">
        <f>'[13]2015 case'!O20</f>
        <v>187.71343755750141</v>
      </c>
      <c r="K44" s="123">
        <f>'[13]2015 case'!P20</f>
        <v>-390.76537576086406</v>
      </c>
      <c r="L44" s="123">
        <f>'[13]2015 case'!Q20</f>
        <v>-695.1883551971805</v>
      </c>
      <c r="M44" s="123">
        <f>'[13]2015 case'!R20</f>
        <v>-1181.6515376327652</v>
      </c>
      <c r="N44" s="123">
        <f>'[13]2015 case'!S20</f>
        <v>-1047.4497443695257</v>
      </c>
      <c r="O44" s="123">
        <f>'[13]2015 case'!T20</f>
        <v>-3930.9824905920091</v>
      </c>
      <c r="P44" s="287">
        <f t="shared" si="3"/>
        <v>-9913.5440659948435</v>
      </c>
      <c r="Q44" s="204"/>
      <c r="R44" s="204"/>
      <c r="S44" s="204"/>
    </row>
    <row r="45" spans="1:19" s="1058" customFormat="1">
      <c r="A45" s="325">
        <f t="shared" si="0"/>
        <v>34</v>
      </c>
      <c r="B45" s="396">
        <v>8580</v>
      </c>
      <c r="C45" s="119" t="s">
        <v>1230</v>
      </c>
      <c r="D45" s="782">
        <f>'[10]Div 009'!C176</f>
        <v>2285987.29</v>
      </c>
      <c r="E45" s="782">
        <f>'[10]Div 009'!D176</f>
        <v>2394375.9200000004</v>
      </c>
      <c r="F45" s="782">
        <f>'[10]Div 009'!E176</f>
        <v>2018731.38</v>
      </c>
      <c r="G45" s="782">
        <f>'[10]Div 009'!F176</f>
        <v>1642981.22</v>
      </c>
      <c r="H45" s="782">
        <f>'[10]Div 009'!G176</f>
        <v>1586611.2600000002</v>
      </c>
      <c r="I45" s="782">
        <f>'[10]Div 009'!H176</f>
        <v>1568769.92</v>
      </c>
      <c r="J45" s="123">
        <f>'[13]2015 case'!O21</f>
        <v>931419.67058630218</v>
      </c>
      <c r="K45" s="123">
        <f>'[13]2015 case'!P21</f>
        <v>860171.64346726995</v>
      </c>
      <c r="L45" s="123">
        <f>'[13]2015 case'!Q21</f>
        <v>1171884.5100152104</v>
      </c>
      <c r="M45" s="123">
        <f>'[13]2015 case'!R21</f>
        <v>1538127.9432099678</v>
      </c>
      <c r="N45" s="123">
        <f>'[13]2015 case'!S21</f>
        <v>1422041.5283008995</v>
      </c>
      <c r="O45" s="123">
        <f>'[13]2015 case'!T21</f>
        <v>1608157.0819724374</v>
      </c>
      <c r="P45" s="287">
        <f t="shared" si="3"/>
        <v>19029259.36755209</v>
      </c>
      <c r="Q45" s="771"/>
      <c r="R45" s="204"/>
      <c r="S45" s="204"/>
    </row>
    <row r="46" spans="1:19" ht="22.5" customHeight="1">
      <c r="A46" s="325">
        <f t="shared" si="0"/>
        <v>35</v>
      </c>
      <c r="B46" s="396">
        <v>8140</v>
      </c>
      <c r="C46" s="204" t="s">
        <v>898</v>
      </c>
      <c r="D46" s="782">
        <f>'[10]Div 009'!C159</f>
        <v>-284.99</v>
      </c>
      <c r="E46" s="782">
        <f>'[10]Div 009'!D159</f>
        <v>0</v>
      </c>
      <c r="F46" s="782">
        <f>'[10]Div 009'!E159</f>
        <v>0</v>
      </c>
      <c r="G46" s="782">
        <f>'[10]Div 009'!F159</f>
        <v>0</v>
      </c>
      <c r="H46" s="782">
        <f>'[10]Div 009'!G159</f>
        <v>0</v>
      </c>
      <c r="I46" s="782">
        <f>'[10]Div 009'!H159</f>
        <v>0</v>
      </c>
      <c r="J46" s="520">
        <f>VLOOKUP($B46,'[12]Div 9 forecast'!$D$437:$AF$517, 9,FALSE)</f>
        <v>22.330420019296159</v>
      </c>
      <c r="K46" s="520">
        <f>VLOOKUP($B46,'[12]Div 9 forecast'!$D$437:$AF$517, 10,FALSE)</f>
        <v>-6.1132019446031638</v>
      </c>
      <c r="L46" s="520">
        <f>VLOOKUP($B46,'[12]Div 9 forecast'!$D$437:$AF$517, 11,FALSE)</f>
        <v>-6.1132019446031638</v>
      </c>
      <c r="M46" s="520">
        <f>VLOOKUP($B46,'[12]Div 9 forecast'!$D$437:$AF$517, 12,FALSE)</f>
        <v>-6.1132019446031638</v>
      </c>
      <c r="N46" s="520">
        <f>VLOOKUP($B46,'[12]Div 9 forecast'!$D$437:$AF$517, 13,FALSE)</f>
        <v>-6.1132019446031638</v>
      </c>
      <c r="O46" s="520">
        <f>VLOOKUP($B46,'[12]Div 9 forecast'!$D$437:$AF$517, 14,FALSE)</f>
        <v>-6.1132019446031638</v>
      </c>
      <c r="P46" s="287">
        <f t="shared" si="3"/>
        <v>-293.22558970371978</v>
      </c>
      <c r="S46" s="204"/>
    </row>
    <row r="47" spans="1:19" ht="21.75" customHeight="1">
      <c r="A47" s="325">
        <f t="shared" si="0"/>
        <v>36</v>
      </c>
      <c r="B47" s="396">
        <v>8160</v>
      </c>
      <c r="C47" s="204" t="s">
        <v>899</v>
      </c>
      <c r="D47" s="782">
        <f>'[10]Div 009'!C160</f>
        <v>8712.2300000000014</v>
      </c>
      <c r="E47" s="782">
        <f>'[10]Div 009'!D160</f>
        <v>19621.62</v>
      </c>
      <c r="F47" s="782">
        <f>'[10]Div 009'!E160</f>
        <v>1888.71</v>
      </c>
      <c r="G47" s="782">
        <f>'[10]Div 009'!F160</f>
        <v>1878.57</v>
      </c>
      <c r="H47" s="782">
        <f>'[10]Div 009'!G160</f>
        <v>3796.64</v>
      </c>
      <c r="I47" s="782">
        <f>'[10]Div 009'!H160</f>
        <v>14701.06</v>
      </c>
      <c r="J47" s="520">
        <f>VLOOKUP($B47,'[12]Div 9 forecast'!$D$437:$AF$517, 9,FALSE)</f>
        <v>7593.7941276976335</v>
      </c>
      <c r="K47" s="520">
        <f>VLOOKUP($B47,'[12]Div 9 forecast'!$D$437:$AF$517, 10,FALSE)</f>
        <v>7526.715083818478</v>
      </c>
      <c r="L47" s="520">
        <f>VLOOKUP($B47,'[12]Div 9 forecast'!$D$437:$AF$517, 11,FALSE)</f>
        <v>7391.6658411395447</v>
      </c>
      <c r="M47" s="520">
        <f>VLOOKUP($B47,'[12]Div 9 forecast'!$D$437:$AF$517, 12,FALSE)</f>
        <v>7692.4149339293645</v>
      </c>
      <c r="N47" s="520">
        <f>VLOOKUP($B47,'[12]Div 9 forecast'!$D$437:$AF$517, 13,FALSE)</f>
        <v>7389.9760570054805</v>
      </c>
      <c r="O47" s="520">
        <f>VLOOKUP($B47,'[12]Div 9 forecast'!$D$437:$AF$517, 14,FALSE)</f>
        <v>7465.1026933774174</v>
      </c>
      <c r="P47" s="287">
        <f t="shared" si="3"/>
        <v>95658.498736967915</v>
      </c>
      <c r="Q47" s="204"/>
      <c r="R47" s="204"/>
      <c r="S47" s="204"/>
    </row>
    <row r="48" spans="1:19">
      <c r="A48" s="325">
        <f t="shared" si="0"/>
        <v>37</v>
      </c>
      <c r="B48" s="396">
        <v>8170</v>
      </c>
      <c r="C48" s="204" t="s">
        <v>905</v>
      </c>
      <c r="D48" s="782">
        <f>'[10]Div 009'!C161</f>
        <v>8336.66</v>
      </c>
      <c r="E48" s="782">
        <f>'[10]Div 009'!D161</f>
        <v>4065.4399999999996</v>
      </c>
      <c r="F48" s="782">
        <f>'[10]Div 009'!E161</f>
        <v>1563.6000000000001</v>
      </c>
      <c r="G48" s="782">
        <f>'[10]Div 009'!F161</f>
        <v>2088.5899999999997</v>
      </c>
      <c r="H48" s="782">
        <f>'[10]Div 009'!G161</f>
        <v>2578.9300000000003</v>
      </c>
      <c r="I48" s="782">
        <f>'[10]Div 009'!H161</f>
        <v>538.5</v>
      </c>
      <c r="J48" s="520">
        <f>VLOOKUP($B48,'[12]Div 9 forecast'!$D$437:$AF$517, 9,FALSE)</f>
        <v>3080.0985025229611</v>
      </c>
      <c r="K48" s="520">
        <f>VLOOKUP($B48,'[12]Div 9 forecast'!$D$437:$AF$517, 10,FALSE)</f>
        <v>2967.7301136235565</v>
      </c>
      <c r="L48" s="520">
        <f>VLOOKUP($B48,'[12]Div 9 forecast'!$D$437:$AF$517, 11,FALSE)</f>
        <v>2866.4260001525176</v>
      </c>
      <c r="M48" s="520">
        <f>VLOOKUP($B48,'[12]Div 9 forecast'!$D$437:$AF$517, 12,FALSE)</f>
        <v>3097.9505104991285</v>
      </c>
      <c r="N48" s="520">
        <f>VLOOKUP($B48,'[12]Div 9 forecast'!$D$437:$AF$517, 13,FALSE)</f>
        <v>2868.0780769795465</v>
      </c>
      <c r="O48" s="520">
        <f>VLOOKUP($B48,'[12]Div 9 forecast'!$D$437:$AF$517, 14,FALSE)</f>
        <v>2935.2038411403068</v>
      </c>
      <c r="P48" s="287">
        <f t="shared" si="3"/>
        <v>36987.207044918017</v>
      </c>
      <c r="Q48" s="204"/>
      <c r="R48" s="204"/>
      <c r="S48" s="204"/>
    </row>
    <row r="49" spans="1:22">
      <c r="A49" s="325">
        <f t="shared" si="0"/>
        <v>38</v>
      </c>
      <c r="B49" s="396">
        <v>8180</v>
      </c>
      <c r="C49" s="204" t="s">
        <v>906</v>
      </c>
      <c r="D49" s="782">
        <f>'[10]Div 009'!C162</f>
        <v>2110.71</v>
      </c>
      <c r="E49" s="782">
        <f>'[10]Div 009'!D162</f>
        <v>4870.84</v>
      </c>
      <c r="F49" s="782">
        <f>'[10]Div 009'!E162</f>
        <v>3731.9700000000003</v>
      </c>
      <c r="G49" s="782">
        <f>'[10]Div 009'!F162</f>
        <v>-260.41000000000003</v>
      </c>
      <c r="H49" s="782">
        <f>'[10]Div 009'!G162</f>
        <v>2552.6400000000003</v>
      </c>
      <c r="I49" s="782">
        <f>'[10]Div 009'!H162</f>
        <v>1489.79</v>
      </c>
      <c r="J49" s="520">
        <f>VLOOKUP($B49,'[12]Div 9 forecast'!$D$437:$AF$517, 9,FALSE)</f>
        <v>2180.7374395101324</v>
      </c>
      <c r="K49" s="520">
        <f>VLOOKUP($B49,'[12]Div 9 forecast'!$D$437:$AF$517, 10,FALSE)</f>
        <v>2106.6073012938728</v>
      </c>
      <c r="L49" s="520">
        <f>VLOOKUP($B49,'[12]Div 9 forecast'!$D$437:$AF$517, 11,FALSE)</f>
        <v>2057.4622556698146</v>
      </c>
      <c r="M49" s="520">
        <f>VLOOKUP($B49,'[12]Div 9 forecast'!$D$437:$AF$517, 12,FALSE)</f>
        <v>2208.6090535181556</v>
      </c>
      <c r="N49" s="520">
        <f>VLOOKUP($B49,'[12]Div 9 forecast'!$D$437:$AF$517, 13,FALSE)</f>
        <v>2054.9054886632402</v>
      </c>
      <c r="O49" s="520">
        <f>VLOOKUP($B49,'[12]Div 9 forecast'!$D$437:$AF$517, 14,FALSE)</f>
        <v>2184.0480395362933</v>
      </c>
      <c r="P49" s="287">
        <f t="shared" si="3"/>
        <v>27287.909578191509</v>
      </c>
      <c r="Q49" s="204"/>
      <c r="R49" s="204"/>
      <c r="S49" s="204"/>
    </row>
    <row r="50" spans="1:22" ht="15.75">
      <c r="A50" s="325">
        <f t="shared" si="0"/>
        <v>39</v>
      </c>
      <c r="B50" s="396">
        <v>8190</v>
      </c>
      <c r="C50" s="204" t="s">
        <v>907</v>
      </c>
      <c r="D50" s="782">
        <f>'[10]Div 009'!C163</f>
        <v>88.48</v>
      </c>
      <c r="E50" s="782">
        <f>'[10]Div 009'!D163</f>
        <v>80.42</v>
      </c>
      <c r="F50" s="782">
        <f>'[10]Div 009'!E163</f>
        <v>77.91</v>
      </c>
      <c r="G50" s="782">
        <f>'[10]Div 009'!F163</f>
        <v>3.04</v>
      </c>
      <c r="H50" s="782">
        <f>'[10]Div 009'!G163</f>
        <v>82.04</v>
      </c>
      <c r="I50" s="782">
        <f>'[10]Div 009'!H163</f>
        <v>82.83</v>
      </c>
      <c r="J50" s="520">
        <f>VLOOKUP($B50,'[12]Div 9 forecast'!$D$437:$AF$517, 9,FALSE)</f>
        <v>59.600108295014302</v>
      </c>
      <c r="K50" s="520">
        <f>VLOOKUP($B50,'[12]Div 9 forecast'!$D$437:$AF$517, 10,FALSE)</f>
        <v>57.353516188728236</v>
      </c>
      <c r="L50" s="520">
        <f>VLOOKUP($B50,'[12]Div 9 forecast'!$D$437:$AF$517, 11,FALSE)</f>
        <v>56.318726135819681</v>
      </c>
      <c r="M50" s="520">
        <f>VLOOKUP($B50,'[12]Div 9 forecast'!$D$437:$AF$517, 12,FALSE)</f>
        <v>60.176679992193883</v>
      </c>
      <c r="N50" s="520">
        <f>VLOOKUP($B50,'[12]Div 9 forecast'!$D$437:$AF$517, 13,FALSE)</f>
        <v>58.351305405418366</v>
      </c>
      <c r="O50" s="520">
        <f>VLOOKUP($B50,'[12]Div 9 forecast'!$D$437:$AF$517, 14,FALSE)</f>
        <v>60.272882166361782</v>
      </c>
      <c r="P50" s="287">
        <f t="shared" si="3"/>
        <v>766.79321818353617</v>
      </c>
      <c r="Q50" s="204"/>
      <c r="R50" s="772"/>
      <c r="S50" s="129"/>
    </row>
    <row r="51" spans="1:22" ht="15.75">
      <c r="A51" s="325">
        <f t="shared" si="0"/>
        <v>40</v>
      </c>
      <c r="B51" s="396">
        <v>8200</v>
      </c>
      <c r="C51" s="204" t="s">
        <v>908</v>
      </c>
      <c r="D51" s="782">
        <f>'[10]Div 009'!C164</f>
        <v>925.36</v>
      </c>
      <c r="E51" s="782">
        <f>'[10]Div 009'!D164</f>
        <v>375.88</v>
      </c>
      <c r="F51" s="782">
        <f>'[10]Div 009'!E164</f>
        <v>-50.620000000000005</v>
      </c>
      <c r="G51" s="782">
        <f>'[10]Div 009'!F164</f>
        <v>94.17</v>
      </c>
      <c r="H51" s="782">
        <f>'[10]Div 009'!G164</f>
        <v>94.56</v>
      </c>
      <c r="I51" s="782">
        <f>'[10]Div 009'!H164</f>
        <v>86.6</v>
      </c>
      <c r="J51" s="520">
        <f>VLOOKUP($B51,'[12]Div 9 forecast'!$D$437:$AF$517, 9,FALSE)</f>
        <v>234.21755634862498</v>
      </c>
      <c r="K51" s="520">
        <f>VLOOKUP($B51,'[12]Div 9 forecast'!$D$437:$AF$517, 10,FALSE)</f>
        <v>225.47507267761188</v>
      </c>
      <c r="L51" s="520">
        <f>VLOOKUP($B51,'[12]Div 9 forecast'!$D$437:$AF$517, 11,FALSE)</f>
        <v>219.15234415944957</v>
      </c>
      <c r="M51" s="520">
        <f>VLOOKUP($B51,'[12]Div 9 forecast'!$D$437:$AF$517, 12,FALSE)</f>
        <v>235.65656944169558</v>
      </c>
      <c r="N51" s="520">
        <f>VLOOKUP($B51,'[12]Div 9 forecast'!$D$437:$AF$517, 13,FALSE)</f>
        <v>223.5380338624002</v>
      </c>
      <c r="O51" s="520">
        <f>VLOOKUP($B51,'[12]Div 9 forecast'!$D$437:$AF$517, 14,FALSE)</f>
        <v>227.68421381215569</v>
      </c>
      <c r="P51" s="287">
        <f t="shared" si="3"/>
        <v>2891.6737903019375</v>
      </c>
      <c r="Q51" s="204"/>
      <c r="R51" s="818"/>
      <c r="S51" s="819"/>
    </row>
    <row r="52" spans="1:22">
      <c r="A52" s="325">
        <f t="shared" si="0"/>
        <v>41</v>
      </c>
      <c r="B52" s="396">
        <v>8210</v>
      </c>
      <c r="C52" s="204" t="s">
        <v>909</v>
      </c>
      <c r="D52" s="782">
        <f>'[10]Div 009'!C165</f>
        <v>12439.340000000002</v>
      </c>
      <c r="E52" s="782">
        <f>'[10]Div 009'!D165</f>
        <v>-1434.7399999999998</v>
      </c>
      <c r="F52" s="782">
        <f>'[10]Div 009'!E165</f>
        <v>-238.72</v>
      </c>
      <c r="G52" s="782">
        <f>'[10]Div 009'!F165</f>
        <v>459.40999999999997</v>
      </c>
      <c r="H52" s="782">
        <f>'[10]Div 009'!G165</f>
        <v>425.49</v>
      </c>
      <c r="I52" s="782">
        <f>'[10]Div 009'!H165</f>
        <v>14630.41</v>
      </c>
      <c r="J52" s="520">
        <f>VLOOKUP($B52,'[12]Div 9 forecast'!$D$437:$AF$517, 9,FALSE)</f>
        <v>3831.2966154324054</v>
      </c>
      <c r="K52" s="520">
        <f>VLOOKUP($B52,'[12]Div 9 forecast'!$D$437:$AF$517, 10,FALSE)</f>
        <v>3792.4032994337135</v>
      </c>
      <c r="L52" s="520">
        <f>VLOOKUP($B52,'[12]Div 9 forecast'!$D$437:$AF$517, 11,FALSE)</f>
        <v>3742.2908847945664</v>
      </c>
      <c r="M52" s="520">
        <f>VLOOKUP($B52,'[12]Div 9 forecast'!$D$437:$AF$517, 12,FALSE)</f>
        <v>3871.4299463369716</v>
      </c>
      <c r="N52" s="520">
        <f>VLOOKUP($B52,'[12]Div 9 forecast'!$D$437:$AF$517, 13,FALSE)</f>
        <v>3746.6282790941887</v>
      </c>
      <c r="O52" s="520">
        <f>VLOOKUP($B52,'[12]Div 9 forecast'!$D$437:$AF$517, 14,FALSE)</f>
        <v>3811.3027844055759</v>
      </c>
      <c r="P52" s="287">
        <f t="shared" si="3"/>
        <v>49076.54180949743</v>
      </c>
      <c r="Q52" s="204"/>
      <c r="R52" s="288"/>
      <c r="S52" s="204"/>
    </row>
    <row r="53" spans="1:22">
      <c r="A53" s="325">
        <f t="shared" si="0"/>
        <v>42</v>
      </c>
      <c r="B53" s="396">
        <v>8240</v>
      </c>
      <c r="C53" s="204" t="s">
        <v>910</v>
      </c>
      <c r="D53" s="782">
        <f>'[10]Div 009'!C166</f>
        <v>651.09</v>
      </c>
      <c r="E53" s="782">
        <f>'[10]Div 009'!D166</f>
        <v>30.549999999999997</v>
      </c>
      <c r="F53" s="782">
        <f>'[10]Div 009'!E166</f>
        <v>25.48</v>
      </c>
      <c r="G53" s="782">
        <f>'[10]Div 009'!F166</f>
        <v>52.61</v>
      </c>
      <c r="H53" s="782">
        <f>'[10]Div 009'!G166</f>
        <v>20.02</v>
      </c>
      <c r="I53" s="782">
        <f>'[10]Div 009'!H166</f>
        <v>0</v>
      </c>
      <c r="J53" s="520">
        <f>VLOOKUP($B53,'[12]Div 9 forecast'!$D$437:$AF$517, 9,FALSE)</f>
        <v>102.26398890354869</v>
      </c>
      <c r="K53" s="520">
        <f>VLOOKUP($B53,'[12]Div 9 forecast'!$D$437:$AF$517, 10,FALSE)</f>
        <v>98.757307539375049</v>
      </c>
      <c r="L53" s="520">
        <f>VLOOKUP($B53,'[12]Div 9 forecast'!$D$437:$AF$517, 11,FALSE)</f>
        <v>98.746649160319009</v>
      </c>
      <c r="M53" s="520">
        <f>VLOOKUP($B53,'[12]Div 9 forecast'!$D$437:$AF$517, 12,FALSE)</f>
        <v>105.11658916523702</v>
      </c>
      <c r="N53" s="520">
        <f>VLOOKUP($B53,'[12]Div 9 forecast'!$D$437:$AF$517, 13,FALSE)</f>
        <v>99.159453310784343</v>
      </c>
      <c r="O53" s="520">
        <f>VLOOKUP($B53,'[12]Div 9 forecast'!$D$437:$AF$517, 14,FALSE)</f>
        <v>113.83917920073242</v>
      </c>
      <c r="P53" s="287">
        <f t="shared" si="3"/>
        <v>1397.6331672799963</v>
      </c>
      <c r="Q53" s="204"/>
      <c r="R53" s="288"/>
      <c r="S53" s="204"/>
    </row>
    <row r="54" spans="1:22">
      <c r="A54" s="325">
        <f t="shared" si="0"/>
        <v>43</v>
      </c>
      <c r="B54" s="396">
        <v>8250</v>
      </c>
      <c r="C54" s="204" t="s">
        <v>922</v>
      </c>
      <c r="D54" s="782">
        <f>'[10]Div 009'!C167</f>
        <v>2468.6699999999996</v>
      </c>
      <c r="E54" s="782">
        <f>'[10]Div 009'!D167</f>
        <v>1059.6300000000001</v>
      </c>
      <c r="F54" s="782">
        <f>'[10]Div 009'!E167</f>
        <v>354.31000000000006</v>
      </c>
      <c r="G54" s="782">
        <f>'[10]Div 009'!F167</f>
        <v>698.02000000000021</v>
      </c>
      <c r="H54" s="782">
        <f>'[10]Div 009'!G167</f>
        <v>133.5</v>
      </c>
      <c r="I54" s="782">
        <f>'[10]Div 009'!H167</f>
        <v>113.09</v>
      </c>
      <c r="J54" s="520">
        <f>VLOOKUP($B54,'[12]Div 9 forecast'!$D$437:$AF$517, 9,FALSE)</f>
        <v>669.43689079989656</v>
      </c>
      <c r="K54" s="520">
        <f>VLOOKUP($B54,'[12]Div 9 forecast'!$D$437:$AF$517, 10,FALSE)</f>
        <v>606.70017879029103</v>
      </c>
      <c r="L54" s="520">
        <f>VLOOKUP($B54,'[12]Div 9 forecast'!$D$437:$AF$517, 11,FALSE)</f>
        <v>595.95554885724027</v>
      </c>
      <c r="M54" s="520">
        <f>VLOOKUP($B54,'[12]Div 9 forecast'!$D$437:$AF$517, 12,FALSE)</f>
        <v>636.01419299381087</v>
      </c>
      <c r="N54" s="520">
        <f>VLOOKUP($B54,'[12]Div 9 forecast'!$D$437:$AF$517, 13,FALSE)</f>
        <v>617.06061456602174</v>
      </c>
      <c r="O54" s="520">
        <f>VLOOKUP($B54,'[12]Div 9 forecast'!$D$437:$AF$517, 14,FALSE)</f>
        <v>637.01309780284305</v>
      </c>
      <c r="P54" s="287">
        <f t="shared" si="3"/>
        <v>8589.4005238101036</v>
      </c>
      <c r="Q54" s="204"/>
      <c r="R54" s="204"/>
      <c r="S54" s="204"/>
    </row>
    <row r="55" spans="1:22">
      <c r="A55" s="325">
        <f t="shared" si="0"/>
        <v>44</v>
      </c>
      <c r="B55" s="396">
        <v>8310</v>
      </c>
      <c r="C55" s="204" t="s">
        <v>923</v>
      </c>
      <c r="D55" s="782">
        <f>'[10]Div 009'!C168</f>
        <v>600</v>
      </c>
      <c r="E55" s="782">
        <f>'[10]Div 009'!D168</f>
        <v>0</v>
      </c>
      <c r="F55" s="782">
        <f>'[10]Div 009'!E168</f>
        <v>750</v>
      </c>
      <c r="G55" s="782">
        <f>'[10]Div 009'!F168</f>
        <v>0</v>
      </c>
      <c r="H55" s="782">
        <f>'[10]Div 009'!G168</f>
        <v>300</v>
      </c>
      <c r="I55" s="782">
        <f>'[10]Div 009'!H168</f>
        <v>600</v>
      </c>
      <c r="J55" s="520">
        <f>VLOOKUP($B55,'[12]Div 9 forecast'!$D$437:$AF$517, 9,FALSE)</f>
        <v>311.00629377663699</v>
      </c>
      <c r="K55" s="520">
        <f>VLOOKUP($B55,'[12]Div 9 forecast'!$D$437:$AF$517, 10,FALSE)</f>
        <v>314.79626845355949</v>
      </c>
      <c r="L55" s="520">
        <f>VLOOKUP($B55,'[12]Div 9 forecast'!$D$437:$AF$517, 11,FALSE)</f>
        <v>314.79626845355949</v>
      </c>
      <c r="M55" s="520">
        <f>VLOOKUP($B55,'[12]Div 9 forecast'!$D$437:$AF$517, 12,FALSE)</f>
        <v>314.79626845355949</v>
      </c>
      <c r="N55" s="520">
        <f>VLOOKUP($B55,'[12]Div 9 forecast'!$D$437:$AF$517, 13,FALSE)</f>
        <v>314.79626845355949</v>
      </c>
      <c r="O55" s="520">
        <f>VLOOKUP($B55,'[12]Div 9 forecast'!$D$437:$AF$517, 14,FALSE)</f>
        <v>314.79626845355949</v>
      </c>
      <c r="P55" s="287">
        <f t="shared" si="3"/>
        <v>4134.987636044435</v>
      </c>
      <c r="Q55" s="204"/>
      <c r="R55" s="288"/>
      <c r="S55" s="204"/>
    </row>
    <row r="56" spans="1:22">
      <c r="A56" s="325">
        <f t="shared" si="0"/>
        <v>45</v>
      </c>
      <c r="B56" s="396">
        <v>8340</v>
      </c>
      <c r="C56" s="204" t="s">
        <v>924</v>
      </c>
      <c r="D56" s="782">
        <f>'[10]Div 009'!C169</f>
        <v>17.850000000000023</v>
      </c>
      <c r="E56" s="782">
        <f>'[10]Div 009'!D169</f>
        <v>654.18000000000006</v>
      </c>
      <c r="F56" s="782">
        <f>'[10]Div 009'!E169</f>
        <v>758.91</v>
      </c>
      <c r="G56" s="782">
        <f>'[10]Div 009'!F169</f>
        <v>512.27</v>
      </c>
      <c r="H56" s="782">
        <f>'[10]Div 009'!G169</f>
        <v>-132.81</v>
      </c>
      <c r="I56" s="782">
        <f>'[10]Div 009'!H169</f>
        <v>0</v>
      </c>
      <c r="J56" s="520">
        <f>VLOOKUP($B56,'[12]Div 9 forecast'!$D$437:$AF$517, 9,FALSE)</f>
        <v>250.59512338466823</v>
      </c>
      <c r="K56" s="520">
        <f>VLOOKUP($B56,'[12]Div 9 forecast'!$D$437:$AF$517, 10,FALSE)</f>
        <v>241.95126671779744</v>
      </c>
      <c r="L56" s="520">
        <f>VLOOKUP($B56,'[12]Div 9 forecast'!$D$437:$AF$517, 11,FALSE)</f>
        <v>239.65025787046426</v>
      </c>
      <c r="M56" s="520">
        <f>VLOOKUP($B56,'[12]Div 9 forecast'!$D$437:$AF$517, 12,FALSE)</f>
        <v>256.34838215155514</v>
      </c>
      <c r="N56" s="520">
        <f>VLOOKUP($B56,'[12]Div 9 forecast'!$D$437:$AF$517, 13,FALSE)</f>
        <v>238.98339314228315</v>
      </c>
      <c r="O56" s="520">
        <f>VLOOKUP($B56,'[12]Div 9 forecast'!$D$437:$AF$517, 14,FALSE)</f>
        <v>268.63173871102919</v>
      </c>
      <c r="P56" s="287">
        <f t="shared" si="3"/>
        <v>3306.5601619777976</v>
      </c>
      <c r="Q56" s="204"/>
      <c r="R56" s="288"/>
      <c r="S56" s="204"/>
    </row>
    <row r="57" spans="1:22">
      <c r="A57" s="325">
        <f t="shared" si="0"/>
        <v>46</v>
      </c>
      <c r="B57" s="396">
        <v>8350</v>
      </c>
      <c r="C57" s="204" t="s">
        <v>925</v>
      </c>
      <c r="D57" s="782">
        <f>'[10]Div 009'!C170</f>
        <v>1062.48</v>
      </c>
      <c r="E57" s="782">
        <f>'[10]Div 009'!D170</f>
        <v>-398.43</v>
      </c>
      <c r="F57" s="782">
        <f>'[10]Div 009'!E170</f>
        <v>0</v>
      </c>
      <c r="G57" s="782">
        <f>'[10]Div 009'!F170</f>
        <v>536.30999999999995</v>
      </c>
      <c r="H57" s="782">
        <f>'[10]Div 009'!G170</f>
        <v>-132.81</v>
      </c>
      <c r="I57" s="782">
        <f>'[10]Div 009'!H170</f>
        <v>173.45</v>
      </c>
      <c r="J57" s="520">
        <f>VLOOKUP($B57,'[12]Div 9 forecast'!$D$437:$AF$517, 9,FALSE)</f>
        <v>206.74459526628411</v>
      </c>
      <c r="K57" s="520">
        <f>VLOOKUP($B57,'[12]Div 9 forecast'!$D$437:$AF$517, 10,FALSE)</f>
        <v>199.1309755419453</v>
      </c>
      <c r="L57" s="520">
        <f>VLOOKUP($B57,'[12]Div 9 forecast'!$D$437:$AF$517, 11,FALSE)</f>
        <v>191.25805437137038</v>
      </c>
      <c r="M57" s="520">
        <f>VLOOKUP($B57,'[12]Div 9 forecast'!$D$437:$AF$517, 12,FALSE)</f>
        <v>207.22127434187294</v>
      </c>
      <c r="N57" s="520">
        <f>VLOOKUP($B57,'[12]Div 9 forecast'!$D$437:$AF$517, 13,FALSE)</f>
        <v>191.24607022815246</v>
      </c>
      <c r="O57" s="520">
        <f>VLOOKUP($B57,'[12]Div 9 forecast'!$D$437:$AF$517, 14,FALSE)</f>
        <v>191.77887696459405</v>
      </c>
      <c r="P57" s="287">
        <f t="shared" si="3"/>
        <v>2428.3798467142192</v>
      </c>
      <c r="Q57" s="204"/>
      <c r="R57" s="288"/>
      <c r="S57" s="204"/>
    </row>
    <row r="58" spans="1:22">
      <c r="A58" s="325">
        <f t="shared" si="0"/>
        <v>47</v>
      </c>
      <c r="B58" s="396">
        <v>8360</v>
      </c>
      <c r="C58" s="204" t="s">
        <v>926</v>
      </c>
      <c r="D58" s="782">
        <f>'[10]Div 009'!C171</f>
        <v>0</v>
      </c>
      <c r="E58" s="782">
        <f>'[10]Div 009'!D171</f>
        <v>0</v>
      </c>
      <c r="F58" s="782">
        <f>'[10]Div 009'!E171</f>
        <v>147.57</v>
      </c>
      <c r="G58" s="782">
        <f>'[10]Div 009'!F171</f>
        <v>-21.08</v>
      </c>
      <c r="H58" s="782">
        <f>'[10]Div 009'!G171</f>
        <v>0</v>
      </c>
      <c r="I58" s="782">
        <f>'[10]Div 009'!H171</f>
        <v>0</v>
      </c>
      <c r="J58" s="520">
        <f>VLOOKUP($B58,'[12]Div 9 forecast'!$D$437:$AF$517, 9,FALSE)</f>
        <v>21.168569958337894</v>
      </c>
      <c r="K58" s="520">
        <f>VLOOKUP($B58,'[12]Div 9 forecast'!$D$437:$AF$517, 10,FALSE)</f>
        <v>20.387912110986417</v>
      </c>
      <c r="L58" s="520">
        <f>VLOOKUP($B58,'[12]Div 9 forecast'!$D$437:$AF$517, 11,FALSE)</f>
        <v>19.568182237875604</v>
      </c>
      <c r="M58" s="520">
        <f>VLOOKUP($B58,'[12]Div 9 forecast'!$D$437:$AF$517, 12,FALSE)</f>
        <v>21.207641984097229</v>
      </c>
      <c r="N58" s="520">
        <f>VLOOKUP($B58,'[12]Div 9 forecast'!$D$437:$AF$517, 13,FALSE)</f>
        <v>19.568182237875604</v>
      </c>
      <c r="O58" s="520">
        <f>VLOOKUP($B58,'[12]Div 9 forecast'!$D$437:$AF$517, 14,FALSE)</f>
        <v>19.568182237875604</v>
      </c>
      <c r="P58" s="287">
        <f t="shared" si="3"/>
        <v>247.95867076704832</v>
      </c>
      <c r="Q58" s="204"/>
      <c r="R58" s="288"/>
      <c r="S58" s="204"/>
    </row>
    <row r="59" spans="1:22" s="1053" customFormat="1">
      <c r="A59" s="325">
        <f t="shared" si="0"/>
        <v>48</v>
      </c>
      <c r="B59" s="1055">
        <v>8370</v>
      </c>
      <c r="C59" s="107" t="s">
        <v>1386</v>
      </c>
      <c r="D59" s="782"/>
      <c r="E59" s="782"/>
      <c r="F59" s="782"/>
      <c r="G59" s="782"/>
      <c r="H59" s="782"/>
      <c r="I59" s="782"/>
      <c r="J59" s="520">
        <f>VLOOKUP($B59,'[12]Div 9 forecast'!$D$437:$AF$517, 9,FALSE)</f>
        <v>0</v>
      </c>
      <c r="K59" s="520">
        <f>VLOOKUP($B59,'[12]Div 9 forecast'!$D$437:$AF$517, 10,FALSE)</f>
        <v>0</v>
      </c>
      <c r="L59" s="520">
        <f>VLOOKUP($B59,'[12]Div 9 forecast'!$D$437:$AF$517, 11,FALSE)</f>
        <v>0</v>
      </c>
      <c r="M59" s="520">
        <f>VLOOKUP($B59,'[12]Div 9 forecast'!$D$437:$AF$517, 12,FALSE)</f>
        <v>0</v>
      </c>
      <c r="N59" s="520">
        <f>VLOOKUP($B59,'[12]Div 9 forecast'!$D$437:$AF$517, 13,FALSE)</f>
        <v>0</v>
      </c>
      <c r="O59" s="520">
        <f>VLOOKUP($B59,'[12]Div 9 forecast'!$D$437:$AF$517, 14,FALSE)</f>
        <v>0</v>
      </c>
      <c r="P59" s="287">
        <f t="shared" si="3"/>
        <v>0</v>
      </c>
      <c r="Q59" s="204"/>
      <c r="R59" s="288"/>
      <c r="S59" s="204"/>
    </row>
    <row r="60" spans="1:22">
      <c r="A60" s="325">
        <f t="shared" si="0"/>
        <v>49</v>
      </c>
      <c r="B60" s="396">
        <v>8410</v>
      </c>
      <c r="C60" s="287" t="s">
        <v>193</v>
      </c>
      <c r="D60" s="782">
        <f>'[10]Div 009'!C172</f>
        <v>3408.6099999999997</v>
      </c>
      <c r="E60" s="782">
        <f>'[10]Div 009'!D172</f>
        <v>13509.07</v>
      </c>
      <c r="F60" s="782">
        <f>'[10]Div 009'!E172</f>
        <v>9210.5400000000009</v>
      </c>
      <c r="G60" s="782">
        <f>'[10]Div 009'!F172</f>
        <v>14340.630000000001</v>
      </c>
      <c r="H60" s="782">
        <f>'[10]Div 009'!G172</f>
        <v>14108.560000000001</v>
      </c>
      <c r="I60" s="782">
        <f>'[10]Div 009'!H172</f>
        <v>11974.95</v>
      </c>
      <c r="J60" s="520">
        <f>VLOOKUP($B60,'[12]Div 9 forecast'!$D$437:$AF$517, 9,FALSE)</f>
        <v>11021.92956362139</v>
      </c>
      <c r="K60" s="520">
        <f>VLOOKUP($B60,'[12]Div 9 forecast'!$D$437:$AF$517, 10,FALSE)</f>
        <v>10660.712774224654</v>
      </c>
      <c r="L60" s="520">
        <f>VLOOKUP($B60,'[12]Div 9 forecast'!$D$437:$AF$517, 11,FALSE)</f>
        <v>10209.758126880011</v>
      </c>
      <c r="M60" s="520">
        <f>VLOOKUP($B60,'[12]Div 9 forecast'!$D$437:$AF$517, 12,FALSE)</f>
        <v>11065.228844231928</v>
      </c>
      <c r="N60" s="520">
        <f>VLOOKUP($B60,'[12]Div 9 forecast'!$D$437:$AF$517, 13,FALSE)</f>
        <v>10206.681045665788</v>
      </c>
      <c r="O60" s="520">
        <f>VLOOKUP($B60,'[12]Div 9 forecast'!$D$437:$AF$517, 14,FALSE)</f>
        <v>10211.565679906162</v>
      </c>
      <c r="P60" s="287">
        <f t="shared" si="3"/>
        <v>129928.23603452992</v>
      </c>
      <c r="Q60" s="204"/>
      <c r="R60" s="204"/>
      <c r="S60" s="204"/>
    </row>
    <row r="61" spans="1:22" s="1054" customFormat="1">
      <c r="A61" s="325">
        <f t="shared" si="0"/>
        <v>50</v>
      </c>
      <c r="B61" s="1057">
        <v>8520</v>
      </c>
      <c r="C61" s="107" t="s">
        <v>1387</v>
      </c>
      <c r="D61" s="782"/>
      <c r="E61" s="782"/>
      <c r="F61" s="782"/>
      <c r="G61" s="782"/>
      <c r="H61" s="782"/>
      <c r="I61" s="782"/>
      <c r="J61" s="520">
        <f>VLOOKUP($B61,'[12]Div 9 forecast'!$D$437:$AF$517, 9,FALSE)</f>
        <v>0</v>
      </c>
      <c r="K61" s="520">
        <f>VLOOKUP($B61,'[12]Div 9 forecast'!$D$437:$AF$517, 10,FALSE)</f>
        <v>0</v>
      </c>
      <c r="L61" s="520">
        <f>VLOOKUP($B61,'[12]Div 9 forecast'!$D$437:$AF$517, 11,FALSE)</f>
        <v>0</v>
      </c>
      <c r="M61" s="520">
        <f>VLOOKUP($B61,'[12]Div 9 forecast'!$D$437:$AF$517, 12,FALSE)</f>
        <v>0</v>
      </c>
      <c r="N61" s="520">
        <f>VLOOKUP($B61,'[12]Div 9 forecast'!$D$437:$AF$517, 13,FALSE)</f>
        <v>0</v>
      </c>
      <c r="O61" s="520">
        <f>VLOOKUP($B61,'[12]Div 9 forecast'!$D$437:$AF$517, 14,FALSE)</f>
        <v>0</v>
      </c>
      <c r="P61" s="287">
        <f t="shared" si="3"/>
        <v>0</v>
      </c>
      <c r="Q61" s="204"/>
      <c r="R61" s="204"/>
      <c r="S61" s="204"/>
      <c r="U61" s="918"/>
      <c r="V61" s="106"/>
    </row>
    <row r="62" spans="1:22" s="1058" customFormat="1">
      <c r="A62" s="325">
        <f t="shared" si="0"/>
        <v>51</v>
      </c>
      <c r="B62" s="1061">
        <v>8550</v>
      </c>
      <c r="C62" s="107" t="s">
        <v>1463</v>
      </c>
      <c r="D62" s="782">
        <f>'[10]Div 009'!C$173</f>
        <v>0</v>
      </c>
      <c r="E62" s="782">
        <f>'[10]Div 009'!D$173</f>
        <v>0</v>
      </c>
      <c r="F62" s="782">
        <f>'[10]Div 009'!E$173</f>
        <v>0</v>
      </c>
      <c r="G62" s="782">
        <f>'[10]Div 009'!F$173</f>
        <v>0</v>
      </c>
      <c r="H62" s="782">
        <f>'[10]Div 009'!G$173</f>
        <v>0</v>
      </c>
      <c r="I62" s="782">
        <f>'[10]Div 009'!H$173</f>
        <v>29.91</v>
      </c>
      <c r="J62" s="520">
        <f>VLOOKUP($B62,'[12]Div 9 forecast'!$D$437:$AF$517, 9,FALSE)</f>
        <v>4.2984163751540265</v>
      </c>
      <c r="K62" s="520">
        <f>VLOOKUP($B62,'[12]Div 9 forecast'!$D$437:$AF$517, 10,FALSE)</f>
        <v>4.1363900202663526</v>
      </c>
      <c r="L62" s="520">
        <f>VLOOKUP($B62,'[12]Div 9 forecast'!$D$437:$AF$517, 11,FALSE)</f>
        <v>4.0617599795581762</v>
      </c>
      <c r="M62" s="520">
        <f>VLOOKUP($B62,'[12]Div 9 forecast'!$D$437:$AF$517, 12,FALSE)</f>
        <v>4.3399992731638681</v>
      </c>
      <c r="N62" s="520">
        <f>VLOOKUP($B62,'[12]Div 9 forecast'!$D$437:$AF$517, 13,FALSE)</f>
        <v>4.2083515255499222</v>
      </c>
      <c r="O62" s="520">
        <f>VLOOKUP($B62,'[12]Div 9 forecast'!$D$437:$AF$517, 14,FALSE)</f>
        <v>4.3469374652678461</v>
      </c>
      <c r="P62" s="287">
        <f t="shared" si="3"/>
        <v>55.301854638960194</v>
      </c>
      <c r="Q62" s="204"/>
      <c r="R62" s="204"/>
      <c r="S62" s="204"/>
      <c r="U62" s="918"/>
      <c r="V62" s="106"/>
    </row>
    <row r="63" spans="1:22">
      <c r="A63" s="325">
        <f t="shared" si="0"/>
        <v>52</v>
      </c>
      <c r="B63" s="396">
        <v>8560</v>
      </c>
      <c r="C63" s="287" t="s">
        <v>928</v>
      </c>
      <c r="D63" s="782">
        <f>'[10]Div 009'!C174</f>
        <v>24144.68</v>
      </c>
      <c r="E63" s="782">
        <f>'[10]Div 009'!D174</f>
        <v>43383.79</v>
      </c>
      <c r="F63" s="782">
        <f>'[10]Div 009'!E174</f>
        <v>11396.799999999997</v>
      </c>
      <c r="G63" s="782">
        <f>'[10]Div 009'!F174</f>
        <v>26439.250000000004</v>
      </c>
      <c r="H63" s="782">
        <f>'[10]Div 009'!G174</f>
        <v>16253.01</v>
      </c>
      <c r="I63" s="782">
        <f>'[10]Div 009'!H174</f>
        <v>44203.270000000011</v>
      </c>
      <c r="J63" s="520">
        <f>VLOOKUP($B63,'[12]Div 9 forecast'!$D$437:$AF$517, 9,FALSE)</f>
        <v>25706.086727191854</v>
      </c>
      <c r="K63" s="520">
        <f>VLOOKUP($B63,'[12]Div 9 forecast'!$D$437:$AF$517, 10,FALSE)</f>
        <v>25311.45461596291</v>
      </c>
      <c r="L63" s="520">
        <f>VLOOKUP($B63,'[12]Div 9 forecast'!$D$437:$AF$517, 11,FALSE)</f>
        <v>24653.032091058922</v>
      </c>
      <c r="M63" s="520">
        <f>VLOOKUP($B63,'[12]Div 9 forecast'!$D$437:$AF$517, 12,FALSE)</f>
        <v>25712.425140535757</v>
      </c>
      <c r="N63" s="520">
        <f>VLOOKUP($B63,'[12]Div 9 forecast'!$D$437:$AF$517, 13,FALSE)</f>
        <v>24645.41235729344</v>
      </c>
      <c r="O63" s="520">
        <f>VLOOKUP($B63,'[12]Div 9 forecast'!$D$437:$AF$517, 14,FALSE)</f>
        <v>24807.767318910639</v>
      </c>
      <c r="P63" s="287">
        <f t="shared" si="3"/>
        <v>316656.97825095349</v>
      </c>
      <c r="Q63" s="204"/>
      <c r="R63" s="288"/>
      <c r="S63" s="204"/>
    </row>
    <row r="64" spans="1:22">
      <c r="A64" s="325">
        <f t="shared" si="0"/>
        <v>53</v>
      </c>
      <c r="B64" s="396">
        <v>8570</v>
      </c>
      <c r="C64" s="287" t="s">
        <v>929</v>
      </c>
      <c r="D64" s="782">
        <f>'[10]Div 009'!C175</f>
        <v>7494.5</v>
      </c>
      <c r="E64" s="782">
        <f>'[10]Div 009'!D175</f>
        <v>543.74</v>
      </c>
      <c r="F64" s="782">
        <f>'[10]Div 009'!E175</f>
        <v>3496.8999999999996</v>
      </c>
      <c r="G64" s="782">
        <f>'[10]Div 009'!F175</f>
        <v>4550.3700000000008</v>
      </c>
      <c r="H64" s="782">
        <f>'[10]Div 009'!G175</f>
        <v>1846.6399999999999</v>
      </c>
      <c r="I64" s="782">
        <f>'[10]Div 009'!H175</f>
        <v>90.190000000000055</v>
      </c>
      <c r="J64" s="520">
        <f>VLOOKUP($B64,'[12]Div 9 forecast'!$D$437:$AF$517, 9,FALSE)</f>
        <v>2843.0817638438634</v>
      </c>
      <c r="K64" s="520">
        <f>VLOOKUP($B64,'[12]Div 9 forecast'!$D$437:$AF$517, 10,FALSE)</f>
        <v>2738.7385426229475</v>
      </c>
      <c r="L64" s="520">
        <f>VLOOKUP($B64,'[12]Div 9 forecast'!$D$437:$AF$517, 11,FALSE)</f>
        <v>2652.0659513510691</v>
      </c>
      <c r="M64" s="520">
        <f>VLOOKUP($B64,'[12]Div 9 forecast'!$D$437:$AF$517, 12,FALSE)</f>
        <v>2861.0098690609793</v>
      </c>
      <c r="N64" s="520">
        <f>VLOOKUP($B64,'[12]Div 9 forecast'!$D$437:$AF$517, 13,FALSE)</f>
        <v>2669.6161072468722</v>
      </c>
      <c r="O64" s="520">
        <f>VLOOKUP($B64,'[12]Div 9 forecast'!$D$437:$AF$517, 14,FALSE)</f>
        <v>2734.3306191778629</v>
      </c>
      <c r="P64" s="287">
        <f t="shared" si="3"/>
        <v>34521.182853303595</v>
      </c>
      <c r="Q64" s="204"/>
      <c r="R64" s="204"/>
      <c r="S64" s="204"/>
    </row>
    <row r="65" spans="1:19">
      <c r="A65" s="325">
        <f t="shared" si="0"/>
        <v>54</v>
      </c>
      <c r="B65" s="396">
        <v>8630</v>
      </c>
      <c r="C65" s="287" t="s">
        <v>930</v>
      </c>
      <c r="D65" s="782">
        <f>'[10]Div 009'!C177</f>
        <v>0</v>
      </c>
      <c r="E65" s="782">
        <f>'[10]Div 009'!D177</f>
        <v>215.03</v>
      </c>
      <c r="F65" s="782">
        <f>'[10]Div 009'!E177</f>
        <v>897.19999999999993</v>
      </c>
      <c r="G65" s="782">
        <f>'[10]Div 009'!F177</f>
        <v>-140.82</v>
      </c>
      <c r="H65" s="782">
        <f>'[10]Div 009'!G177</f>
        <v>1240.4100000000001</v>
      </c>
      <c r="I65" s="782">
        <f>'[10]Div 009'!H177</f>
        <v>804.21</v>
      </c>
      <c r="J65" s="520">
        <f>VLOOKUP($B65,'[12]Div 9 forecast'!$D$437:$AF$517, 9,FALSE)</f>
        <v>504.74379042964534</v>
      </c>
      <c r="K65" s="520">
        <f>VLOOKUP($B65,'[12]Div 9 forecast'!$D$437:$AF$517, 10,FALSE)</f>
        <v>486.12976965845797</v>
      </c>
      <c r="L65" s="520">
        <f>VLOOKUP($B65,'[12]Div 9 forecast'!$D$437:$AF$517, 11,FALSE)</f>
        <v>466.58411475136342</v>
      </c>
      <c r="M65" s="520">
        <f>VLOOKUP($B65,'[12]Div 9 forecast'!$D$437:$AF$517, 12,FALSE)</f>
        <v>505.6754245655527</v>
      </c>
      <c r="N65" s="520">
        <f>VLOOKUP($B65,'[12]Div 9 forecast'!$D$437:$AF$517, 13,FALSE)</f>
        <v>466.58411475136342</v>
      </c>
      <c r="O65" s="520">
        <f>VLOOKUP($B65,'[12]Div 9 forecast'!$D$437:$AF$517, 14,FALSE)</f>
        <v>466.58411475136342</v>
      </c>
      <c r="P65" s="287">
        <f t="shared" ref="P65:P66" si="6">SUM(D65:O65)</f>
        <v>5912.3313289077478</v>
      </c>
      <c r="Q65" s="204"/>
      <c r="R65" s="288"/>
      <c r="S65" s="204"/>
    </row>
    <row r="66" spans="1:19" s="1056" customFormat="1">
      <c r="A66" s="325">
        <f t="shared" si="0"/>
        <v>55</v>
      </c>
      <c r="B66" s="1059">
        <v>8640</v>
      </c>
      <c r="C66" s="107" t="s">
        <v>1388</v>
      </c>
      <c r="D66" s="782"/>
      <c r="E66" s="782"/>
      <c r="F66" s="782"/>
      <c r="G66" s="782"/>
      <c r="H66" s="782"/>
      <c r="I66" s="782"/>
      <c r="J66" s="520">
        <f>VLOOKUP($B66,'[12]Div 9 forecast'!$D$437:$AF$517, 9,FALSE)</f>
        <v>0</v>
      </c>
      <c r="K66" s="520">
        <f>VLOOKUP($B66,'[12]Div 9 forecast'!$D$437:$AF$517, 10,FALSE)</f>
        <v>0</v>
      </c>
      <c r="L66" s="520">
        <f>VLOOKUP($B66,'[12]Div 9 forecast'!$D$437:$AF$517, 11,FALSE)</f>
        <v>0</v>
      </c>
      <c r="M66" s="520">
        <f>VLOOKUP($B66,'[12]Div 9 forecast'!$D$437:$AF$517, 12,FALSE)</f>
        <v>0</v>
      </c>
      <c r="N66" s="520">
        <f>VLOOKUP($B66,'[12]Div 9 forecast'!$D$437:$AF$517, 13,FALSE)</f>
        <v>0</v>
      </c>
      <c r="O66" s="520">
        <f>VLOOKUP($B66,'[12]Div 9 forecast'!$D$437:$AF$517, 14,FALSE)</f>
        <v>0</v>
      </c>
      <c r="P66" s="287">
        <f t="shared" si="6"/>
        <v>0</v>
      </c>
      <c r="Q66" s="204"/>
      <c r="R66" s="288"/>
      <c r="S66" s="204"/>
    </row>
    <row r="67" spans="1:19">
      <c r="A67" s="325">
        <f t="shared" si="0"/>
        <v>56</v>
      </c>
      <c r="B67" s="396">
        <v>8650</v>
      </c>
      <c r="C67" s="287" t="s">
        <v>931</v>
      </c>
      <c r="D67" s="782">
        <f>'[10]Div 009'!C178</f>
        <v>0</v>
      </c>
      <c r="E67" s="782">
        <f>'[10]Div 009'!D178</f>
        <v>0</v>
      </c>
      <c r="F67" s="782">
        <f>'[10]Div 009'!E178</f>
        <v>2862.96</v>
      </c>
      <c r="G67" s="782">
        <f>'[10]Div 009'!F178</f>
        <v>279.2</v>
      </c>
      <c r="H67" s="782">
        <f>'[10]Div 009'!G178</f>
        <v>-177.08</v>
      </c>
      <c r="I67" s="782">
        <f>'[10]Div 009'!H178</f>
        <v>0</v>
      </c>
      <c r="J67" s="520">
        <f>VLOOKUP($B67,'[12]Div 9 forecast'!$D$437:$AF$517, 9,FALSE)</f>
        <v>495.17547036250448</v>
      </c>
      <c r="K67" s="520">
        <f>VLOOKUP($B67,'[12]Div 9 forecast'!$D$437:$AF$517, 10,FALSE)</f>
        <v>476.96052625239395</v>
      </c>
      <c r="L67" s="520">
        <f>VLOOKUP($B67,'[12]Div 9 forecast'!$D$437:$AF$517, 11,FALSE)</f>
        <v>457.92717579554756</v>
      </c>
      <c r="M67" s="520">
        <f>VLOOKUP($B67,'[12]Div 9 forecast'!$D$437:$AF$517, 12,FALSE)</f>
        <v>496.13496245102692</v>
      </c>
      <c r="N67" s="520">
        <f>VLOOKUP($B67,'[12]Div 9 forecast'!$D$437:$AF$517, 13,FALSE)</f>
        <v>457.90518786193695</v>
      </c>
      <c r="O67" s="520">
        <f>VLOOKUP($B67,'[12]Div 9 forecast'!$D$437:$AF$517, 14,FALSE)</f>
        <v>458.52761459391206</v>
      </c>
      <c r="P67" s="287">
        <f t="shared" ref="P67:P105" si="7">SUM(D67:O67)</f>
        <v>5807.7109373173216</v>
      </c>
      <c r="Q67" s="204"/>
      <c r="R67" s="204"/>
      <c r="S67" s="204"/>
    </row>
    <row r="68" spans="1:19">
      <c r="A68" s="325">
        <f t="shared" si="0"/>
        <v>57</v>
      </c>
      <c r="B68" s="396">
        <v>8700</v>
      </c>
      <c r="C68" s="287" t="s">
        <v>932</v>
      </c>
      <c r="D68" s="782">
        <f>'[10]Div 009'!C179</f>
        <v>108924.19999999965</v>
      </c>
      <c r="E68" s="782">
        <f>'[10]Div 009'!D179</f>
        <v>123894.28000000009</v>
      </c>
      <c r="F68" s="782">
        <f>'[10]Div 009'!E179</f>
        <v>87335.919999999882</v>
      </c>
      <c r="G68" s="782">
        <f>'[10]Div 009'!F179</f>
        <v>96211.379999999917</v>
      </c>
      <c r="H68" s="782">
        <f>'[10]Div 009'!G179</f>
        <v>106036.00999999997</v>
      </c>
      <c r="I68" s="782">
        <f>'[10]Div 009'!H179</f>
        <v>139540.11999999976</v>
      </c>
      <c r="J68" s="520">
        <f>VLOOKUP($B68,'[12]Div 9 forecast'!$D$437:$AF$517, 9,FALSE)</f>
        <v>85750.309745869235</v>
      </c>
      <c r="K68" s="520">
        <f>VLOOKUP($B68,'[12]Div 9 forecast'!$D$437:$AF$517, 10,FALSE)</f>
        <v>90006.878738886371</v>
      </c>
      <c r="L68" s="520">
        <f>VLOOKUP($B68,'[12]Div 9 forecast'!$D$437:$AF$517, 11,FALSE)</f>
        <v>85219.957839945011</v>
      </c>
      <c r="M68" s="520">
        <f>VLOOKUP($B68,'[12]Div 9 forecast'!$D$437:$AF$517, 12,FALSE)</f>
        <v>89919.563668060888</v>
      </c>
      <c r="N68" s="520">
        <f>VLOOKUP($B68,'[12]Div 9 forecast'!$D$437:$AF$517, 13,FALSE)</f>
        <v>85932.185833541313</v>
      </c>
      <c r="O68" s="520">
        <f>VLOOKUP($B68,'[12]Div 9 forecast'!$D$437:$AF$517, 14,FALSE)</f>
        <v>85018.651079679286</v>
      </c>
      <c r="P68" s="287">
        <f t="shared" si="7"/>
        <v>1183789.4569059813</v>
      </c>
      <c r="Q68" s="204"/>
      <c r="R68" s="288"/>
      <c r="S68" s="204"/>
    </row>
    <row r="69" spans="1:19">
      <c r="A69" s="325">
        <f t="shared" si="0"/>
        <v>58</v>
      </c>
      <c r="B69" s="396">
        <v>8710</v>
      </c>
      <c r="C69" s="287" t="s">
        <v>933</v>
      </c>
      <c r="D69" s="782">
        <f>'[10]Div 009'!C180</f>
        <v>911.53</v>
      </c>
      <c r="E69" s="782">
        <f>'[10]Div 009'!D180</f>
        <v>19.5</v>
      </c>
      <c r="F69" s="782">
        <f>'[10]Div 009'!E180</f>
        <v>21.6</v>
      </c>
      <c r="G69" s="782">
        <f>'[10]Div 009'!F180</f>
        <v>41.290000000000006</v>
      </c>
      <c r="H69" s="782">
        <f>'[10]Div 009'!G180</f>
        <v>41.41</v>
      </c>
      <c r="I69" s="782">
        <f>'[10]Div 009'!H180</f>
        <v>21.52</v>
      </c>
      <c r="J69" s="520">
        <f>VLOOKUP($B69,'[12]Div 9 forecast'!$D$437:$AF$517, 9,FALSE)</f>
        <v>151.88168993920203</v>
      </c>
      <c r="K69" s="520">
        <f>VLOOKUP($B69,'[12]Div 9 forecast'!$D$437:$AF$517, 10,FALSE)</f>
        <v>146.15659621927432</v>
      </c>
      <c r="L69" s="520">
        <f>VLOOKUP($B69,'[12]Div 9 forecast'!$D$437:$AF$517, 11,FALSE)</f>
        <v>143.51959325964756</v>
      </c>
      <c r="M69" s="520">
        <f>VLOOKUP($B69,'[12]Div 9 forecast'!$D$437:$AF$517, 12,FALSE)</f>
        <v>153.35099404357183</v>
      </c>
      <c r="N69" s="520">
        <f>VLOOKUP($B69,'[12]Div 9 forecast'!$D$437:$AF$517, 13,FALSE)</f>
        <v>148.69930825066649</v>
      </c>
      <c r="O69" s="520">
        <f>VLOOKUP($B69,'[12]Div 9 forecast'!$D$437:$AF$517, 14,FALSE)</f>
        <v>153.59615045698172</v>
      </c>
      <c r="P69" s="287">
        <f t="shared" si="7"/>
        <v>1954.0543321693435</v>
      </c>
      <c r="Q69" s="204"/>
      <c r="R69" s="288"/>
      <c r="S69" s="204"/>
    </row>
    <row r="70" spans="1:19">
      <c r="A70" s="325">
        <f t="shared" si="0"/>
        <v>59</v>
      </c>
      <c r="B70" s="396">
        <v>8711</v>
      </c>
      <c r="C70" s="130" t="s">
        <v>194</v>
      </c>
      <c r="D70" s="782">
        <f>'[10]Div 009'!C181</f>
        <v>0</v>
      </c>
      <c r="E70" s="782">
        <f>'[10]Div 009'!D181</f>
        <v>0</v>
      </c>
      <c r="F70" s="782">
        <f>'[10]Div 009'!E181</f>
        <v>0</v>
      </c>
      <c r="G70" s="782">
        <f>'[10]Div 009'!F181</f>
        <v>5985.9</v>
      </c>
      <c r="H70" s="782">
        <f>'[10]Div 009'!G181</f>
        <v>0</v>
      </c>
      <c r="I70" s="782">
        <f>'[10]Div 009'!H181</f>
        <v>0</v>
      </c>
      <c r="J70" s="520">
        <f>VLOOKUP($B70,'[12]Div 9 forecast'!$D$437:$AF$517, 9,FALSE)</f>
        <v>767.36853343164273</v>
      </c>
      <c r="K70" s="520">
        <f>VLOOKUP($B70,'[12]Div 9 forecast'!$D$437:$AF$517, 10,FALSE)</f>
        <v>741.74361145870284</v>
      </c>
      <c r="L70" s="520">
        <f>VLOOKUP($B70,'[12]Div 9 forecast'!$D$437:$AF$517, 11,FALSE)</f>
        <v>745.15439402452182</v>
      </c>
      <c r="M70" s="520">
        <f>VLOOKUP($B70,'[12]Div 9 forecast'!$D$437:$AF$517, 12,FALSE)</f>
        <v>792.45931606185661</v>
      </c>
      <c r="N70" s="520">
        <f>VLOOKUP($B70,'[12]Div 9 forecast'!$D$437:$AF$517, 13,FALSE)</f>
        <v>742.17037227376738</v>
      </c>
      <c r="O70" s="520">
        <f>VLOOKUP($B70,'[12]Div 9 forecast'!$D$437:$AF$517, 14,FALSE)</f>
        <v>874.83791984721836</v>
      </c>
      <c r="P70" s="287">
        <f t="shared" ref="P70:P71" si="8">SUM(D70:O70)</f>
        <v>10649.634147097708</v>
      </c>
      <c r="Q70" s="204"/>
      <c r="R70" s="288"/>
      <c r="S70" s="204"/>
    </row>
    <row r="71" spans="1:19" s="1058" customFormat="1">
      <c r="A71" s="325">
        <f t="shared" si="0"/>
        <v>60</v>
      </c>
      <c r="B71" s="1061">
        <v>8720</v>
      </c>
      <c r="C71" s="130" t="s">
        <v>1389</v>
      </c>
      <c r="D71" s="782"/>
      <c r="E71" s="782"/>
      <c r="F71" s="782"/>
      <c r="G71" s="782"/>
      <c r="H71" s="782"/>
      <c r="I71" s="782"/>
      <c r="J71" s="520">
        <f>VLOOKUP($B71,'[12]Div 9 forecast'!$D$437:$AF$517, 9,FALSE)</f>
        <v>0</v>
      </c>
      <c r="K71" s="520">
        <f>VLOOKUP($B71,'[12]Div 9 forecast'!$D$437:$AF$517, 10,FALSE)</f>
        <v>0</v>
      </c>
      <c r="L71" s="520">
        <f>VLOOKUP($B71,'[12]Div 9 forecast'!$D$437:$AF$517, 11,FALSE)</f>
        <v>0</v>
      </c>
      <c r="M71" s="520">
        <f>VLOOKUP($B71,'[12]Div 9 forecast'!$D$437:$AF$517, 12,FALSE)</f>
        <v>0</v>
      </c>
      <c r="N71" s="520">
        <f>VLOOKUP($B71,'[12]Div 9 forecast'!$D$437:$AF$517, 13,FALSE)</f>
        <v>0</v>
      </c>
      <c r="O71" s="520">
        <f>VLOOKUP($B71,'[12]Div 9 forecast'!$D$437:$AF$517, 14,FALSE)</f>
        <v>0</v>
      </c>
      <c r="P71" s="287">
        <f t="shared" si="8"/>
        <v>0</v>
      </c>
      <c r="Q71" s="204"/>
      <c r="R71" s="288"/>
      <c r="S71" s="204"/>
    </row>
    <row r="72" spans="1:19">
      <c r="A72" s="325">
        <f t="shared" si="0"/>
        <v>61</v>
      </c>
      <c r="B72" s="396">
        <v>8740</v>
      </c>
      <c r="C72" s="204" t="s">
        <v>934</v>
      </c>
      <c r="D72" s="782">
        <f>'[10]Div 009'!C182</f>
        <v>337866.07</v>
      </c>
      <c r="E72" s="782">
        <f>'[10]Div 009'!D182</f>
        <v>322093.16000000003</v>
      </c>
      <c r="F72" s="782">
        <f>'[10]Div 009'!E182</f>
        <v>299562.99000000011</v>
      </c>
      <c r="G72" s="782">
        <f>'[10]Div 009'!F182</f>
        <v>331434.98000000004</v>
      </c>
      <c r="H72" s="782">
        <f>'[10]Div 009'!G182</f>
        <v>348644.54999999987</v>
      </c>
      <c r="I72" s="782">
        <f>'[10]Div 009'!H182</f>
        <v>297225.92</v>
      </c>
      <c r="J72" s="520">
        <f>VLOOKUP($B72,'[12]Div 9 forecast'!$D$437:$AF$517, 9,FALSE)</f>
        <v>307262.12748637539</v>
      </c>
      <c r="K72" s="520">
        <f>VLOOKUP($B72,'[12]Div 9 forecast'!$D$437:$AF$517, 10,FALSE)</f>
        <v>302016.25862799911</v>
      </c>
      <c r="L72" s="520">
        <f>VLOOKUP($B72,'[12]Div 9 forecast'!$D$437:$AF$517, 11,FALSE)</f>
        <v>291363.05767837632</v>
      </c>
      <c r="M72" s="520">
        <f>VLOOKUP($B72,'[12]Div 9 forecast'!$D$437:$AF$517, 12,FALSE)</f>
        <v>303289.01788535865</v>
      </c>
      <c r="N72" s="520">
        <f>VLOOKUP($B72,'[12]Div 9 forecast'!$D$437:$AF$517, 13,FALSE)</f>
        <v>290794.34288298659</v>
      </c>
      <c r="O72" s="520">
        <f>VLOOKUP($B72,'[12]Div 9 forecast'!$D$437:$AF$517, 14,FALSE)</f>
        <v>292439.46788492642</v>
      </c>
      <c r="P72" s="287">
        <f t="shared" si="7"/>
        <v>3723991.9424460223</v>
      </c>
      <c r="Q72" s="204"/>
      <c r="R72" s="288"/>
      <c r="S72" s="204"/>
    </row>
    <row r="73" spans="1:19">
      <c r="A73" s="325">
        <f t="shared" si="0"/>
        <v>62</v>
      </c>
      <c r="B73" s="396">
        <v>8750</v>
      </c>
      <c r="C73" s="204" t="s">
        <v>935</v>
      </c>
      <c r="D73" s="782">
        <f>'[10]Div 009'!C183</f>
        <v>40672.54</v>
      </c>
      <c r="E73" s="782">
        <f>'[10]Div 009'!D183</f>
        <v>12822.8</v>
      </c>
      <c r="F73" s="782">
        <f>'[10]Div 009'!E183</f>
        <v>59894.830000000009</v>
      </c>
      <c r="G73" s="782">
        <f>'[10]Div 009'!F183</f>
        <v>30927.120000000006</v>
      </c>
      <c r="H73" s="782">
        <f>'[10]Div 009'!G183</f>
        <v>39263.279999999992</v>
      </c>
      <c r="I73" s="782">
        <f>'[10]Div 009'!H183</f>
        <v>22811.64</v>
      </c>
      <c r="J73" s="520">
        <f>VLOOKUP($B73,'[12]Div 9 forecast'!$D$437:$AF$517, 9,FALSE)</f>
        <v>33282.670508539064</v>
      </c>
      <c r="K73" s="520">
        <f>VLOOKUP($B73,'[12]Div 9 forecast'!$D$437:$AF$517, 10,FALSE)</f>
        <v>32194.740740770805</v>
      </c>
      <c r="L73" s="520">
        <f>VLOOKUP($B73,'[12]Div 9 forecast'!$D$437:$AF$517, 11,FALSE)</f>
        <v>31033.886043972499</v>
      </c>
      <c r="M73" s="520">
        <f>VLOOKUP($B73,'[12]Div 9 forecast'!$D$437:$AF$517, 12,FALSE)</f>
        <v>33494.685036657123</v>
      </c>
      <c r="N73" s="520">
        <f>VLOOKUP($B73,'[12]Div 9 forecast'!$D$437:$AF$517, 13,FALSE)</f>
        <v>31038.720358605067</v>
      </c>
      <c r="O73" s="520">
        <f>VLOOKUP($B73,'[12]Div 9 forecast'!$D$437:$AF$517, 14,FALSE)</f>
        <v>31562.867538473729</v>
      </c>
      <c r="P73" s="287">
        <f t="shared" si="7"/>
        <v>398999.7802270184</v>
      </c>
      <c r="Q73" s="204"/>
      <c r="R73" s="288"/>
      <c r="S73" s="204"/>
    </row>
    <row r="74" spans="1:19">
      <c r="A74" s="325">
        <f t="shared" si="0"/>
        <v>63</v>
      </c>
      <c r="B74" s="396">
        <v>8760</v>
      </c>
      <c r="C74" s="204" t="s">
        <v>936</v>
      </c>
      <c r="D74" s="782">
        <f>'[10]Div 009'!C184</f>
        <v>1931.5</v>
      </c>
      <c r="E74" s="782">
        <f>'[10]Div 009'!D184</f>
        <v>534.79</v>
      </c>
      <c r="F74" s="782">
        <f>'[10]Div 009'!E184</f>
        <v>2812.65</v>
      </c>
      <c r="G74" s="782">
        <f>'[10]Div 009'!F184</f>
        <v>2681.4599999999996</v>
      </c>
      <c r="H74" s="782">
        <f>'[10]Div 009'!G184</f>
        <v>3657.0099999999998</v>
      </c>
      <c r="I74" s="782">
        <f>'[10]Div 009'!H184</f>
        <v>6084.99</v>
      </c>
      <c r="J74" s="520">
        <f>VLOOKUP($B74,'[12]Div 9 forecast'!$D$437:$AF$517, 9,FALSE)</f>
        <v>2708.1713370204261</v>
      </c>
      <c r="K74" s="520">
        <f>VLOOKUP($B74,'[12]Div 9 forecast'!$D$437:$AF$517, 10,FALSE)</f>
        <v>2616.3609988874796</v>
      </c>
      <c r="L74" s="520">
        <f>VLOOKUP($B74,'[12]Div 9 forecast'!$D$437:$AF$517, 11,FALSE)</f>
        <v>2548.4311522267481</v>
      </c>
      <c r="M74" s="520">
        <f>VLOOKUP($B74,'[12]Div 9 forecast'!$D$437:$AF$517, 12,FALSE)</f>
        <v>2737.6538887385541</v>
      </c>
      <c r="N74" s="520">
        <f>VLOOKUP($B74,'[12]Div 9 forecast'!$D$437:$AF$517, 13,FALSE)</f>
        <v>2545.4892195447078</v>
      </c>
      <c r="O74" s="520">
        <f>VLOOKUP($B74,'[12]Div 9 forecast'!$D$437:$AF$517, 14,FALSE)</f>
        <v>2676.285516171497</v>
      </c>
      <c r="P74" s="287">
        <f t="shared" si="7"/>
        <v>33534.792112589414</v>
      </c>
      <c r="Q74" s="204"/>
      <c r="R74" s="288"/>
      <c r="S74" s="204"/>
    </row>
    <row r="75" spans="1:19">
      <c r="A75" s="325">
        <f t="shared" si="0"/>
        <v>64</v>
      </c>
      <c r="B75" s="396">
        <v>8770</v>
      </c>
      <c r="C75" s="204" t="s">
        <v>937</v>
      </c>
      <c r="D75" s="782">
        <f>'[10]Div 009'!C185</f>
        <v>4439.130000000001</v>
      </c>
      <c r="E75" s="782">
        <f>'[10]Div 009'!D185</f>
        <v>3366.64</v>
      </c>
      <c r="F75" s="782">
        <f>'[10]Div 009'!E185</f>
        <v>4994.420000000001</v>
      </c>
      <c r="G75" s="782">
        <f>'[10]Div 009'!F185</f>
        <v>11335.130000000001</v>
      </c>
      <c r="H75" s="782">
        <f>'[10]Div 009'!G185</f>
        <v>23157.57</v>
      </c>
      <c r="I75" s="782">
        <f>'[10]Div 009'!H185</f>
        <v>21429.11</v>
      </c>
      <c r="J75" s="520">
        <f>VLOOKUP($B75,'[12]Div 9 forecast'!$D$437:$AF$517, 9,FALSE)</f>
        <v>9202.0926152701104</v>
      </c>
      <c r="K75" s="520">
        <f>VLOOKUP($B75,'[12]Div 9 forecast'!$D$437:$AF$517, 10,FALSE)</f>
        <v>8917.5967067050788</v>
      </c>
      <c r="L75" s="520">
        <f>VLOOKUP($B75,'[12]Div 9 forecast'!$D$437:$AF$517, 11,FALSE)</f>
        <v>8891.0151730878861</v>
      </c>
      <c r="M75" s="520">
        <f>VLOOKUP($B75,'[12]Div 9 forecast'!$D$437:$AF$517, 12,FALSE)</f>
        <v>9440.3619010978964</v>
      </c>
      <c r="N75" s="520">
        <f>VLOOKUP($B75,'[12]Div 9 forecast'!$D$437:$AF$517, 13,FALSE)</f>
        <v>8879.5404558222072</v>
      </c>
      <c r="O75" s="520">
        <f>VLOOKUP($B75,'[12]Div 9 forecast'!$D$437:$AF$517, 14,FALSE)</f>
        <v>10077.374849008364</v>
      </c>
      <c r="P75" s="287">
        <f t="shared" si="7"/>
        <v>124129.98170099156</v>
      </c>
      <c r="Q75" s="204"/>
      <c r="R75" s="288"/>
      <c r="S75" s="204"/>
    </row>
    <row r="76" spans="1:19">
      <c r="A76" s="325">
        <f t="shared" si="0"/>
        <v>65</v>
      </c>
      <c r="B76" s="396">
        <v>8780</v>
      </c>
      <c r="C76" s="204" t="s">
        <v>938</v>
      </c>
      <c r="D76" s="782">
        <f>'[10]Div 009'!C186</f>
        <v>85679.659999999931</v>
      </c>
      <c r="E76" s="782">
        <f>'[10]Div 009'!D186</f>
        <v>77707.450000000012</v>
      </c>
      <c r="F76" s="782">
        <f>'[10]Div 009'!E186</f>
        <v>66202.750000000029</v>
      </c>
      <c r="G76" s="782">
        <f>'[10]Div 009'!F186</f>
        <v>70824.289999999979</v>
      </c>
      <c r="H76" s="782">
        <f>'[10]Div 009'!G186</f>
        <v>80798.549999999974</v>
      </c>
      <c r="I76" s="782">
        <f>'[10]Div 009'!H186</f>
        <v>76264.640000000014</v>
      </c>
      <c r="J76" s="520">
        <f>VLOOKUP($B76,'[12]Div 9 forecast'!$D$437:$AF$517, 9,FALSE)</f>
        <v>74823.42606696047</v>
      </c>
      <c r="K76" s="520">
        <f>VLOOKUP($B76,'[12]Div 9 forecast'!$D$437:$AF$517, 10,FALSE)</f>
        <v>73201.916641918055</v>
      </c>
      <c r="L76" s="520">
        <f>VLOOKUP($B76,'[12]Div 9 forecast'!$D$437:$AF$517, 11,FALSE)</f>
        <v>69821.200329972635</v>
      </c>
      <c r="M76" s="520">
        <f>VLOOKUP($B76,'[12]Div 9 forecast'!$D$437:$AF$517, 12,FALSE)</f>
        <v>75627.355273199879</v>
      </c>
      <c r="N76" s="520">
        <f>VLOOKUP($B76,'[12]Div 9 forecast'!$D$437:$AF$517, 13,FALSE)</f>
        <v>69757.153407336998</v>
      </c>
      <c r="O76" s="520">
        <f>VLOOKUP($B76,'[12]Div 9 forecast'!$D$437:$AF$517, 14,FALSE)</f>
        <v>70147.61465378289</v>
      </c>
      <c r="P76" s="287">
        <f t="shared" si="7"/>
        <v>890856.00637317088</v>
      </c>
      <c r="Q76" s="204"/>
      <c r="R76" s="288"/>
      <c r="S76" s="204"/>
    </row>
    <row r="77" spans="1:19">
      <c r="A77" s="325">
        <f t="shared" si="0"/>
        <v>66</v>
      </c>
      <c r="B77" s="396">
        <v>8790</v>
      </c>
      <c r="C77" s="204" t="s">
        <v>939</v>
      </c>
      <c r="D77" s="782">
        <f>'[10]Div 009'!C187</f>
        <v>0</v>
      </c>
      <c r="E77" s="782">
        <f>'[10]Div 009'!D187</f>
        <v>89.92</v>
      </c>
      <c r="F77" s="782">
        <f>'[10]Div 009'!E187</f>
        <v>0</v>
      </c>
      <c r="G77" s="782">
        <f>'[10]Div 009'!F187</f>
        <v>93.84</v>
      </c>
      <c r="H77" s="782">
        <f>'[10]Div 009'!G187</f>
        <v>239.02</v>
      </c>
      <c r="I77" s="782">
        <f>'[10]Div 009'!H187</f>
        <v>0</v>
      </c>
      <c r="J77" s="520">
        <f>VLOOKUP($B77,'[12]Div 9 forecast'!$D$437:$AF$517, 9,FALSE)</f>
        <v>54.198711733278181</v>
      </c>
      <c r="K77" s="520">
        <f>VLOOKUP($B77,'[12]Div 9 forecast'!$D$437:$AF$517, 10,FALSE)</f>
        <v>52.388841118714033</v>
      </c>
      <c r="L77" s="520">
        <f>VLOOKUP($B77,'[12]Div 9 forecast'!$D$437:$AF$517, 11,FALSE)</f>
        <v>52.629742345459711</v>
      </c>
      <c r="M77" s="520">
        <f>VLOOKUP($B77,'[12]Div 9 forecast'!$D$437:$AF$517, 12,FALSE)</f>
        <v>55.970856453437534</v>
      </c>
      <c r="N77" s="520">
        <f>VLOOKUP($B77,'[12]Div 9 forecast'!$D$437:$AF$517, 13,FALSE)</f>
        <v>52.418982941563229</v>
      </c>
      <c r="O77" s="520">
        <f>VLOOKUP($B77,'[12]Div 9 forecast'!$D$437:$AF$517, 14,FALSE)</f>
        <v>61.789200580197956</v>
      </c>
      <c r="P77" s="287">
        <f t="shared" si="7"/>
        <v>752.17633517265062</v>
      </c>
      <c r="Q77" s="204"/>
      <c r="R77" s="288"/>
      <c r="S77" s="204"/>
    </row>
    <row r="78" spans="1:19">
      <c r="A78" s="325">
        <f t="shared" si="0"/>
        <v>67</v>
      </c>
      <c r="B78" s="396">
        <v>8800</v>
      </c>
      <c r="C78" s="204" t="s">
        <v>940</v>
      </c>
      <c r="D78" s="782">
        <f>'[10]Div 009'!C188</f>
        <v>16986.450000000004</v>
      </c>
      <c r="E78" s="782">
        <f>'[10]Div 009'!D188</f>
        <v>25978.430000000004</v>
      </c>
      <c r="F78" s="782">
        <f>'[10]Div 009'!E188</f>
        <v>22518.890000000007</v>
      </c>
      <c r="G78" s="782">
        <f>'[10]Div 009'!F188</f>
        <v>10693.5</v>
      </c>
      <c r="H78" s="782">
        <f>'[10]Div 009'!G188</f>
        <v>19224.150000000001</v>
      </c>
      <c r="I78" s="782">
        <f>'[10]Div 009'!H188</f>
        <v>11344.840000000002</v>
      </c>
      <c r="J78" s="520">
        <f>VLOOKUP($B78,'[12]Div 9 forecast'!$D$437:$AF$517, 9,FALSE)</f>
        <v>17668.148665740122</v>
      </c>
      <c r="K78" s="520">
        <f>VLOOKUP($B78,'[12]Div 9 forecast'!$D$437:$AF$517, 10,FALSE)</f>
        <v>17075.216457477589</v>
      </c>
      <c r="L78" s="520">
        <f>VLOOKUP($B78,'[12]Div 9 forecast'!$D$437:$AF$517, 11,FALSE)</f>
        <v>16389.881773423713</v>
      </c>
      <c r="M78" s="520">
        <f>VLOOKUP($B78,'[12]Div 9 forecast'!$D$437:$AF$517, 12,FALSE)</f>
        <v>17754.711372576858</v>
      </c>
      <c r="N78" s="520">
        <f>VLOOKUP($B78,'[12]Div 9 forecast'!$D$437:$AF$517, 13,FALSE)</f>
        <v>16382.527791479786</v>
      </c>
      <c r="O78" s="520">
        <f>VLOOKUP($B78,'[12]Div 9 forecast'!$D$437:$AF$517, 14,FALSE)</f>
        <v>16457.808903700174</v>
      </c>
      <c r="P78" s="287">
        <f t="shared" si="7"/>
        <v>208474.55496439827</v>
      </c>
      <c r="Q78" s="204"/>
      <c r="R78" s="204"/>
      <c r="S78" s="204"/>
    </row>
    <row r="79" spans="1:19">
      <c r="A79" s="325">
        <f t="shared" si="0"/>
        <v>68</v>
      </c>
      <c r="B79" s="396">
        <v>8810</v>
      </c>
      <c r="C79" s="204" t="s">
        <v>941</v>
      </c>
      <c r="D79" s="782">
        <f>'[10]Div 009'!C189</f>
        <v>40817.600000000013</v>
      </c>
      <c r="E79" s="782">
        <f>'[10]Div 009'!D189</f>
        <v>37698.920000000027</v>
      </c>
      <c r="F79" s="782">
        <f>'[10]Div 009'!E189</f>
        <v>43548.709999999992</v>
      </c>
      <c r="G79" s="782">
        <f>'[10]Div 009'!F189</f>
        <v>34962.680000000008</v>
      </c>
      <c r="H79" s="782">
        <f>'[10]Div 009'!G189</f>
        <v>43046.65</v>
      </c>
      <c r="I79" s="782">
        <f>'[10]Div 009'!H189</f>
        <v>40699.689999999995</v>
      </c>
      <c r="J79" s="520">
        <f>VLOOKUP($B79,'[12]Div 9 forecast'!$D$437:$AF$517, 9,FALSE)</f>
        <v>34547.542391144925</v>
      </c>
      <c r="K79" s="520">
        <f>VLOOKUP($B79,'[12]Div 9 forecast'!$D$437:$AF$517, 10,FALSE)</f>
        <v>33307.809598304302</v>
      </c>
      <c r="L79" s="520">
        <f>VLOOKUP($B79,'[12]Div 9 forecast'!$D$437:$AF$517, 11,FALSE)</f>
        <v>32730.57384238685</v>
      </c>
      <c r="M79" s="520">
        <f>VLOOKUP($B79,'[12]Div 9 forecast'!$D$437:$AF$517, 12,FALSE)</f>
        <v>34885.831034904106</v>
      </c>
      <c r="N79" s="520">
        <f>VLOOKUP($B79,'[12]Div 9 forecast'!$D$437:$AF$517, 13,FALSE)</f>
        <v>33864.602026288732</v>
      </c>
      <c r="O79" s="520">
        <f>VLOOKUP($B79,'[12]Div 9 forecast'!$D$437:$AF$517, 14,FALSE)</f>
        <v>34943.875593847806</v>
      </c>
      <c r="P79" s="287">
        <f t="shared" si="7"/>
        <v>445054.48448687675</v>
      </c>
      <c r="Q79" s="204"/>
      <c r="R79" s="204"/>
      <c r="S79" s="204"/>
    </row>
    <row r="80" spans="1:19">
      <c r="A80" s="325">
        <f t="shared" si="0"/>
        <v>69</v>
      </c>
      <c r="B80" s="396">
        <v>8850</v>
      </c>
      <c r="C80" s="204" t="s">
        <v>942</v>
      </c>
      <c r="D80" s="782">
        <f>'[10]Div 009'!C190</f>
        <v>36.800000000000004</v>
      </c>
      <c r="E80" s="782">
        <f>'[10]Div 009'!D190</f>
        <v>185.37</v>
      </c>
      <c r="F80" s="782">
        <f>'[10]Div 009'!E190</f>
        <v>184.67000000000002</v>
      </c>
      <c r="G80" s="782">
        <f>'[10]Div 009'!F190</f>
        <v>139.76</v>
      </c>
      <c r="H80" s="782">
        <f>'[10]Div 009'!G190</f>
        <v>0</v>
      </c>
      <c r="I80" s="782">
        <f>'[10]Div 009'!H190</f>
        <v>303.67</v>
      </c>
      <c r="J80" s="520">
        <f>VLOOKUP($B80,'[12]Div 9 forecast'!$D$437:$AF$517, 9,FALSE)</f>
        <v>232.82746424499894</v>
      </c>
      <c r="K80" s="520">
        <f>VLOOKUP($B80,'[12]Div 9 forecast'!$D$437:$AF$517, 10,FALSE)</f>
        <v>169.48722224643484</v>
      </c>
      <c r="L80" s="520">
        <f>VLOOKUP($B80,'[12]Div 9 forecast'!$D$437:$AF$517, 11,FALSE)</f>
        <v>183.52989198376892</v>
      </c>
      <c r="M80" s="520">
        <f>VLOOKUP($B80,'[12]Div 9 forecast'!$D$437:$AF$517, 12,FALSE)</f>
        <v>188.9909302149544</v>
      </c>
      <c r="N80" s="520">
        <f>VLOOKUP($B80,'[12]Div 9 forecast'!$D$437:$AF$517, 13,FALSE)</f>
        <v>169.48722224643484</v>
      </c>
      <c r="O80" s="520">
        <f>VLOOKUP($B80,'[12]Div 9 forecast'!$D$437:$AF$517, 14,FALSE)</f>
        <v>169.48722224643484</v>
      </c>
      <c r="P80" s="287">
        <f t="shared" si="7"/>
        <v>1964.0799531830269</v>
      </c>
      <c r="Q80" s="204"/>
      <c r="R80" s="204"/>
      <c r="S80" s="204"/>
    </row>
    <row r="81" spans="1:21">
      <c r="A81" s="325">
        <f t="shared" si="0"/>
        <v>70</v>
      </c>
      <c r="B81" s="396">
        <v>8860</v>
      </c>
      <c r="C81" s="204" t="s">
        <v>943</v>
      </c>
      <c r="D81" s="782">
        <f>'[10]Div 009'!C191</f>
        <v>11626.65</v>
      </c>
      <c r="E81" s="782">
        <f>'[10]Div 009'!D191</f>
        <v>40.28</v>
      </c>
      <c r="F81" s="782">
        <f>'[10]Div 009'!E191</f>
        <v>621.80999999999995</v>
      </c>
      <c r="G81" s="782">
        <f>'[10]Div 009'!F191</f>
        <v>221.49</v>
      </c>
      <c r="H81" s="782">
        <f>'[10]Div 009'!G191</f>
        <v>88.94</v>
      </c>
      <c r="I81" s="782">
        <f>'[10]Div 009'!H191</f>
        <v>41.27</v>
      </c>
      <c r="J81" s="520">
        <f>VLOOKUP($B81,'[12]Div 9 forecast'!$D$437:$AF$517, 9,FALSE)</f>
        <v>1816.5788794768296</v>
      </c>
      <c r="K81" s="520">
        <f>VLOOKUP($B81,'[12]Div 9 forecast'!$D$437:$AF$517, 10,FALSE)</f>
        <v>1748.1039741817324</v>
      </c>
      <c r="L81" s="520">
        <f>VLOOKUP($B81,'[12]Div 9 forecast'!$D$437:$AF$517, 11,FALSE)</f>
        <v>1716.5641362757058</v>
      </c>
      <c r="M81" s="520">
        <f>VLOOKUP($B81,'[12]Div 9 forecast'!$D$437:$AF$517, 12,FALSE)</f>
        <v>1834.1524711625373</v>
      </c>
      <c r="N81" s="520">
        <f>VLOOKUP($B81,'[12]Div 9 forecast'!$D$437:$AF$517, 13,FALSE)</f>
        <v>1778.5160467275914</v>
      </c>
      <c r="O81" s="520">
        <f>VLOOKUP($B81,'[12]Div 9 forecast'!$D$437:$AF$517, 14,FALSE)</f>
        <v>1837.0846610989736</v>
      </c>
      <c r="P81" s="287">
        <f t="shared" si="7"/>
        <v>23371.440168923371</v>
      </c>
      <c r="Q81" s="204"/>
      <c r="R81" s="204"/>
      <c r="S81" s="204"/>
    </row>
    <row r="82" spans="1:21">
      <c r="A82" s="325">
        <f t="shared" si="0"/>
        <v>71</v>
      </c>
      <c r="B82" s="396">
        <v>8870</v>
      </c>
      <c r="C82" s="204" t="s">
        <v>944</v>
      </c>
      <c r="D82" s="782">
        <f>'[10]Div 009'!C192</f>
        <v>6566.5400000000009</v>
      </c>
      <c r="E82" s="782">
        <f>'[10]Div 009'!D192</f>
        <v>1572.31</v>
      </c>
      <c r="F82" s="782">
        <f>'[10]Div 009'!E192</f>
        <v>7188.92</v>
      </c>
      <c r="G82" s="782">
        <f>'[10]Div 009'!F192</f>
        <v>2092.4700000000007</v>
      </c>
      <c r="H82" s="782">
        <f>'[10]Div 009'!G192</f>
        <v>4112.07</v>
      </c>
      <c r="I82" s="782">
        <f>'[10]Div 009'!H192</f>
        <v>3428.97</v>
      </c>
      <c r="J82" s="520">
        <f>VLOOKUP($B82,'[12]Div 9 forecast'!$D$437:$AF$517, 9,FALSE)</f>
        <v>3814.2485201239683</v>
      </c>
      <c r="K82" s="520">
        <f>VLOOKUP($B82,'[12]Div 9 forecast'!$D$437:$AF$517, 10,FALSE)</f>
        <v>3487.0083311958811</v>
      </c>
      <c r="L82" s="520">
        <f>VLOOKUP($B82,'[12]Div 9 forecast'!$D$437:$AF$517, 11,FALSE)</f>
        <v>3377.0821008988346</v>
      </c>
      <c r="M82" s="520">
        <f>VLOOKUP($B82,'[12]Div 9 forecast'!$D$437:$AF$517, 12,FALSE)</f>
        <v>3607.4173354408717</v>
      </c>
      <c r="N82" s="520">
        <f>VLOOKUP($B82,'[12]Div 9 forecast'!$D$437:$AF$517, 13,FALSE)</f>
        <v>3376.5041800488957</v>
      </c>
      <c r="O82" s="520">
        <f>VLOOKUP($B82,'[12]Div 9 forecast'!$D$437:$AF$517, 14,FALSE)</f>
        <v>3402.1981421768801</v>
      </c>
      <c r="P82" s="287">
        <f t="shared" si="7"/>
        <v>46025.738609885331</v>
      </c>
      <c r="Q82" s="204"/>
      <c r="R82" s="209"/>
      <c r="S82" s="204"/>
    </row>
    <row r="83" spans="1:21">
      <c r="A83" s="325">
        <f t="shared" si="0"/>
        <v>72</v>
      </c>
      <c r="B83" s="396">
        <v>8890</v>
      </c>
      <c r="C83" s="289" t="s">
        <v>945</v>
      </c>
      <c r="D83" s="782">
        <f>'[10]Div 009'!C193</f>
        <v>183.17</v>
      </c>
      <c r="E83" s="782">
        <f>'[10]Div 009'!D193</f>
        <v>176.64</v>
      </c>
      <c r="F83" s="782">
        <f>'[10]Div 009'!E193</f>
        <v>0</v>
      </c>
      <c r="G83" s="782">
        <f>'[10]Div 009'!F193</f>
        <v>0</v>
      </c>
      <c r="H83" s="782">
        <f>'[10]Div 009'!G193</f>
        <v>0</v>
      </c>
      <c r="I83" s="782">
        <f>'[10]Div 009'!H193</f>
        <v>3405.21</v>
      </c>
      <c r="J83" s="520">
        <f>VLOOKUP($B83,'[12]Div 9 forecast'!$D$437:$AF$517, 9,FALSE)</f>
        <v>482.66056495110234</v>
      </c>
      <c r="K83" s="520">
        <f>VLOOKUP($B83,'[12]Div 9 forecast'!$D$437:$AF$517, 10,FALSE)</f>
        <v>466.54296463593533</v>
      </c>
      <c r="L83" s="520">
        <f>VLOOKUP($B83,'[12]Div 9 forecast'!$D$437:$AF$517, 11,FALSE)</f>
        <v>468.68828356474467</v>
      </c>
      <c r="M83" s="520">
        <f>VLOOKUP($B83,'[12]Div 9 forecast'!$D$437:$AF$517, 12,FALSE)</f>
        <v>498.44220153347226</v>
      </c>
      <c r="N83" s="520">
        <f>VLOOKUP($B83,'[12]Div 9 forecast'!$D$437:$AF$517, 13,FALSE)</f>
        <v>466.81138926780932</v>
      </c>
      <c r="O83" s="520">
        <f>VLOOKUP($B83,'[12]Div 9 forecast'!$D$437:$AF$517, 14,FALSE)</f>
        <v>550.25681434423802</v>
      </c>
      <c r="P83" s="287">
        <f t="shared" si="7"/>
        <v>6698.4222182973017</v>
      </c>
      <c r="Q83" s="204"/>
      <c r="R83" s="204"/>
      <c r="S83" s="204"/>
    </row>
    <row r="84" spans="1:21">
      <c r="A84" s="325">
        <f t="shared" ref="A84:A110" si="9">A83+1</f>
        <v>73</v>
      </c>
      <c r="B84" s="396">
        <v>8900</v>
      </c>
      <c r="C84" s="204" t="s">
        <v>946</v>
      </c>
      <c r="D84" s="782">
        <f>'[10]Div 009'!C194</f>
        <v>0</v>
      </c>
      <c r="E84" s="782">
        <f>'[10]Div 009'!D194</f>
        <v>458.34000000000003</v>
      </c>
      <c r="F84" s="782">
        <f>'[10]Div 009'!E194</f>
        <v>4685.16</v>
      </c>
      <c r="G84" s="782">
        <f>'[10]Div 009'!F194</f>
        <v>488.02</v>
      </c>
      <c r="H84" s="782">
        <f>'[10]Div 009'!G194</f>
        <v>341.08</v>
      </c>
      <c r="I84" s="782">
        <f>'[10]Div 009'!H194</f>
        <v>0</v>
      </c>
      <c r="J84" s="520">
        <f>VLOOKUP($B84,'[12]Div 9 forecast'!$D$437:$AF$517, 9,FALSE)</f>
        <v>765.66352641604931</v>
      </c>
      <c r="K84" s="520">
        <f>VLOOKUP($B84,'[12]Div 9 forecast'!$D$437:$AF$517, 10,FALSE)</f>
        <v>740.09554015239951</v>
      </c>
      <c r="L84" s="520">
        <f>VLOOKUP($B84,'[12]Div 9 forecast'!$D$437:$AF$517, 11,FALSE)</f>
        <v>743.49874434101116</v>
      </c>
      <c r="M84" s="520">
        <f>VLOOKUP($B84,'[12]Div 9 forecast'!$D$437:$AF$517, 12,FALSE)</f>
        <v>790.69856013482433</v>
      </c>
      <c r="N84" s="520">
        <f>VLOOKUP($B84,'[12]Div 9 forecast'!$D$437:$AF$517, 13,FALSE)</f>
        <v>740.52135275268597</v>
      </c>
      <c r="O84" s="520">
        <f>VLOOKUP($B84,'[12]Div 9 forecast'!$D$437:$AF$517, 14,FALSE)</f>
        <v>872.89412788043512</v>
      </c>
      <c r="P84" s="287">
        <f t="shared" si="7"/>
        <v>10625.971851677408</v>
      </c>
      <c r="Q84" s="204"/>
      <c r="R84" s="204"/>
      <c r="S84" s="204"/>
    </row>
    <row r="85" spans="1:21">
      <c r="A85" s="325">
        <f t="shared" si="9"/>
        <v>74</v>
      </c>
      <c r="B85" s="396">
        <v>8910</v>
      </c>
      <c r="C85" s="204" t="s">
        <v>947</v>
      </c>
      <c r="D85" s="782">
        <f>'[10]Div 009'!C195</f>
        <v>0</v>
      </c>
      <c r="E85" s="782">
        <f>'[10]Div 009'!D195</f>
        <v>6514.98</v>
      </c>
      <c r="F85" s="782">
        <f>'[10]Div 009'!E195</f>
        <v>1048.92</v>
      </c>
      <c r="G85" s="782">
        <f>'[10]Div 009'!F195</f>
        <v>669.78</v>
      </c>
      <c r="H85" s="782">
        <f>'[10]Div 009'!G195</f>
        <v>5814.73</v>
      </c>
      <c r="I85" s="782">
        <f>'[10]Div 009'!H195</f>
        <v>280.12</v>
      </c>
      <c r="J85" s="520">
        <f>VLOOKUP($B85,'[12]Div 9 forecast'!$D$437:$AF$517, 9,FALSE)</f>
        <v>1899.3749309618656</v>
      </c>
      <c r="K85" s="520">
        <f>VLOOKUP($B85,'[12]Div 9 forecast'!$D$437:$AF$517, 10,FALSE)</f>
        <v>1872.3167403570633</v>
      </c>
      <c r="L85" s="520">
        <f>VLOOKUP($B85,'[12]Div 9 forecast'!$D$437:$AF$517, 11,FALSE)</f>
        <v>1876.3177650563996</v>
      </c>
      <c r="M85" s="520">
        <f>VLOOKUP($B85,'[12]Div 9 forecast'!$D$437:$AF$517, 12,FALSE)</f>
        <v>1944.1085121296842</v>
      </c>
      <c r="N85" s="520">
        <f>VLOOKUP($B85,'[12]Div 9 forecast'!$D$437:$AF$517, 13,FALSE)</f>
        <v>1873.5787557521091</v>
      </c>
      <c r="O85" s="520">
        <f>VLOOKUP($B85,'[12]Div 9 forecast'!$D$437:$AF$517, 14,FALSE)</f>
        <v>2057.689002606026</v>
      </c>
      <c r="P85" s="287">
        <f t="shared" si="7"/>
        <v>25851.91570686315</v>
      </c>
      <c r="Q85" s="204"/>
      <c r="R85" s="204"/>
      <c r="S85" s="204"/>
    </row>
    <row r="86" spans="1:21">
      <c r="A86" s="325">
        <f t="shared" si="9"/>
        <v>75</v>
      </c>
      <c r="B86" s="396">
        <v>8920</v>
      </c>
      <c r="C86" s="204" t="s">
        <v>948</v>
      </c>
      <c r="D86" s="782">
        <f>'[10]Div 009'!C196</f>
        <v>407.76</v>
      </c>
      <c r="E86" s="782">
        <f>'[10]Div 009'!D196</f>
        <v>651.98</v>
      </c>
      <c r="F86" s="782">
        <f>'[10]Div 009'!E196</f>
        <v>-5.0000000000000053</v>
      </c>
      <c r="G86" s="782">
        <f>'[10]Div 009'!F196</f>
        <v>-26.340000000000003</v>
      </c>
      <c r="H86" s="782">
        <f>'[10]Div 009'!G196</f>
        <v>0</v>
      </c>
      <c r="I86" s="782">
        <f>'[10]Div 009'!H196</f>
        <v>827.30000000000007</v>
      </c>
      <c r="J86" s="520">
        <f>VLOOKUP($B86,'[12]Div 9 forecast'!$D$437:$AF$517, 9,FALSE)</f>
        <v>297.04769077061832</v>
      </c>
      <c r="K86" s="520">
        <f>VLOOKUP($B86,'[12]Div 9 forecast'!$D$437:$AF$517, 10,FALSE)</f>
        <v>286.24726236807982</v>
      </c>
      <c r="L86" s="520">
        <f>VLOOKUP($B86,'[12]Div 9 forecast'!$D$437:$AF$517, 11,FALSE)</f>
        <v>276.65382800639537</v>
      </c>
      <c r="M86" s="520">
        <f>VLOOKUP($B86,'[12]Div 9 forecast'!$D$437:$AF$517, 12,FALSE)</f>
        <v>298.96057208149267</v>
      </c>
      <c r="N86" s="520">
        <f>VLOOKUP($B86,'[12]Div 9 forecast'!$D$437:$AF$517, 13,FALSE)</f>
        <v>276.48182763474483</v>
      </c>
      <c r="O86" s="520">
        <f>VLOOKUP($B86,'[12]Div 9 forecast'!$D$437:$AF$517, 14,FALSE)</f>
        <v>284.1288454498216</v>
      </c>
      <c r="P86" s="287">
        <f t="shared" si="7"/>
        <v>3575.2200263111527</v>
      </c>
      <c r="Q86" s="204"/>
      <c r="R86" s="204"/>
      <c r="S86" s="204"/>
    </row>
    <row r="87" spans="1:21">
      <c r="A87" s="325">
        <f t="shared" si="9"/>
        <v>76</v>
      </c>
      <c r="B87" s="396">
        <v>8930</v>
      </c>
      <c r="C87" s="204" t="s">
        <v>949</v>
      </c>
      <c r="D87" s="782">
        <f>'[10]Div 009'!C197</f>
        <v>7219.07</v>
      </c>
      <c r="E87" s="782">
        <f>'[10]Div 009'!D197</f>
        <v>6049.89</v>
      </c>
      <c r="F87" s="782">
        <f>'[10]Div 009'!E197</f>
        <v>6481.26</v>
      </c>
      <c r="G87" s="782">
        <f>'[10]Div 009'!F197</f>
        <v>9382.41</v>
      </c>
      <c r="H87" s="782">
        <f>'[10]Div 009'!G197</f>
        <v>11681.470000000001</v>
      </c>
      <c r="I87" s="782">
        <f>'[10]Div 009'!H197</f>
        <v>12949.92</v>
      </c>
      <c r="J87" s="520">
        <f>VLOOKUP($B87,'[12]Div 9 forecast'!$D$437:$AF$517, 9,FALSE)</f>
        <v>8990.5007429160269</v>
      </c>
      <c r="K87" s="520">
        <f>VLOOKUP($B87,'[12]Div 9 forecast'!$D$437:$AF$517, 10,FALSE)</f>
        <v>8659.0287301657536</v>
      </c>
      <c r="L87" s="520">
        <f>VLOOKUP($B87,'[12]Div 9 forecast'!$D$437:$AF$517, 11,FALSE)</f>
        <v>8311.885787443256</v>
      </c>
      <c r="M87" s="520">
        <f>VLOOKUP($B87,'[12]Div 9 forecast'!$D$437:$AF$517, 12,FALSE)</f>
        <v>9007.8128559052038</v>
      </c>
      <c r="N87" s="520">
        <f>VLOOKUP($B87,'[12]Div 9 forecast'!$D$437:$AF$517, 13,FALSE)</f>
        <v>8311.7953081589785</v>
      </c>
      <c r="O87" s="520">
        <f>VLOOKUP($B87,'[12]Div 9 forecast'!$D$437:$AF$517, 14,FALSE)</f>
        <v>8315.8179546924293</v>
      </c>
      <c r="P87" s="287">
        <f t="shared" si="7"/>
        <v>105360.86137928165</v>
      </c>
      <c r="Q87" s="204"/>
      <c r="R87" s="204"/>
      <c r="S87" s="204"/>
    </row>
    <row r="88" spans="1:21">
      <c r="A88" s="325">
        <f t="shared" si="9"/>
        <v>77</v>
      </c>
      <c r="B88" s="396">
        <v>8940</v>
      </c>
      <c r="C88" s="204" t="s">
        <v>950</v>
      </c>
      <c r="D88" s="782">
        <f>'[10]Div 009'!C198</f>
        <v>-939.4200000000003</v>
      </c>
      <c r="E88" s="782">
        <f>'[10]Div 009'!D198</f>
        <v>3275.94</v>
      </c>
      <c r="F88" s="782">
        <f>'[10]Div 009'!E198</f>
        <v>2206.33</v>
      </c>
      <c r="G88" s="782">
        <f>'[10]Div 009'!F198</f>
        <v>22510.9</v>
      </c>
      <c r="H88" s="782">
        <f>'[10]Div 009'!G198</f>
        <v>3953.74</v>
      </c>
      <c r="I88" s="782">
        <f>'[10]Div 009'!H198</f>
        <v>7867.85</v>
      </c>
      <c r="J88" s="520">
        <f>VLOOKUP($B88,'[12]Div 9 forecast'!$D$437:$AF$517, 9,FALSE)</f>
        <v>5288.7890018109356</v>
      </c>
      <c r="K88" s="520">
        <f>VLOOKUP($B88,'[12]Div 9 forecast'!$D$437:$AF$517, 10,FALSE)</f>
        <v>5485.0007363785426</v>
      </c>
      <c r="L88" s="520">
        <f>VLOOKUP($B88,'[12]Div 9 forecast'!$D$437:$AF$517, 11,FALSE)</f>
        <v>5495.0960815500166</v>
      </c>
      <c r="M88" s="520">
        <f>VLOOKUP($B88,'[12]Div 9 forecast'!$D$437:$AF$517, 12,FALSE)</f>
        <v>5639.3150559749147</v>
      </c>
      <c r="N88" s="520">
        <f>VLOOKUP($B88,'[12]Div 9 forecast'!$D$437:$AF$517, 13,FALSE)</f>
        <v>5485.9961985711743</v>
      </c>
      <c r="O88" s="520">
        <f>VLOOKUP($B88,'[12]Div 9 forecast'!$D$437:$AF$517, 14,FALSE)</f>
        <v>5890.5707153967542</v>
      </c>
      <c r="P88" s="287">
        <f t="shared" si="7"/>
        <v>72160.107789682326</v>
      </c>
      <c r="Q88" s="204"/>
      <c r="R88" s="204"/>
      <c r="S88" s="204"/>
    </row>
    <row r="89" spans="1:21">
      <c r="A89" s="325">
        <f t="shared" si="9"/>
        <v>78</v>
      </c>
      <c r="B89" s="396">
        <v>9020</v>
      </c>
      <c r="C89" s="204" t="s">
        <v>951</v>
      </c>
      <c r="D89" s="782">
        <f>'[10]Div 009'!C199</f>
        <v>91878.500000000029</v>
      </c>
      <c r="E89" s="782">
        <f>'[10]Div 009'!D199</f>
        <v>121879.09000000003</v>
      </c>
      <c r="F89" s="782">
        <f>'[10]Div 009'!E199</f>
        <v>107089.14999999998</v>
      </c>
      <c r="G89" s="782">
        <f>'[10]Div 009'!F199</f>
        <v>114825.07</v>
      </c>
      <c r="H89" s="782">
        <f>'[10]Div 009'!G199</f>
        <v>114277.70999999999</v>
      </c>
      <c r="I89" s="782">
        <f>'[10]Div 009'!H199</f>
        <v>98163.079999999987</v>
      </c>
      <c r="J89" s="520">
        <f>VLOOKUP($B89,'[12]Div 9 forecast'!$D$437:$AF$517, 9,FALSE)</f>
        <v>91904.068009899143</v>
      </c>
      <c r="K89" s="520">
        <f>VLOOKUP($B89,'[12]Div 9 forecast'!$D$437:$AF$517, 10,FALSE)</f>
        <v>93767.564472194528</v>
      </c>
      <c r="L89" s="520">
        <f>VLOOKUP($B89,'[12]Div 9 forecast'!$D$437:$AF$517, 11,FALSE)</f>
        <v>91733.621204861323</v>
      </c>
      <c r="M89" s="520">
        <f>VLOOKUP($B89,'[12]Div 9 forecast'!$D$437:$AF$517, 12,FALSE)</f>
        <v>93868.778369874664</v>
      </c>
      <c r="N89" s="520">
        <f>VLOOKUP($B89,'[12]Div 9 forecast'!$D$437:$AF$517, 13,FALSE)</f>
        <v>91595.312056961542</v>
      </c>
      <c r="O89" s="520">
        <f>VLOOKUP($B89,'[12]Div 9 forecast'!$D$437:$AF$517, 14,FALSE)</f>
        <v>91785.63105843676</v>
      </c>
      <c r="P89" s="287">
        <f t="shared" si="7"/>
        <v>1202767.575172228</v>
      </c>
      <c r="Q89" s="771"/>
      <c r="R89" s="771"/>
      <c r="S89" s="771"/>
      <c r="T89" s="771"/>
      <c r="U89" s="771"/>
    </row>
    <row r="90" spans="1:21">
      <c r="A90" s="325">
        <f t="shared" si="9"/>
        <v>79</v>
      </c>
      <c r="B90" s="396">
        <v>9030</v>
      </c>
      <c r="C90" s="204" t="s">
        <v>956</v>
      </c>
      <c r="D90" s="782">
        <f>'[10]Div 009'!C200</f>
        <v>29218.420000000002</v>
      </c>
      <c r="E90" s="782">
        <f>'[10]Div 009'!D200</f>
        <v>33171.21</v>
      </c>
      <c r="F90" s="782">
        <f>'[10]Div 009'!E200</f>
        <v>42346.360000000008</v>
      </c>
      <c r="G90" s="782">
        <f>'[10]Div 009'!F200</f>
        <v>35783.969999999994</v>
      </c>
      <c r="H90" s="782">
        <f>'[10]Div 009'!G200</f>
        <v>32199.81</v>
      </c>
      <c r="I90" s="782">
        <f>'[10]Div 009'!H200</f>
        <v>22339.380000000008</v>
      </c>
      <c r="J90" s="520">
        <f>VLOOKUP($B90,'[12]Div 9 forecast'!$D$437:$AF$517, 9,FALSE)</f>
        <v>31821.260962221946</v>
      </c>
      <c r="K90" s="520">
        <f>VLOOKUP($B90,'[12]Div 9 forecast'!$D$437:$AF$517, 10,FALSE)</f>
        <v>31227.064302774084</v>
      </c>
      <c r="L90" s="520">
        <f>VLOOKUP($B90,'[12]Div 9 forecast'!$D$437:$AF$517, 11,FALSE)</f>
        <v>29830.539000543515</v>
      </c>
      <c r="M90" s="520">
        <f>VLOOKUP($B90,'[12]Div 9 forecast'!$D$437:$AF$517, 12,FALSE)</f>
        <v>32309.83711962531</v>
      </c>
      <c r="N90" s="520">
        <f>VLOOKUP($B90,'[12]Div 9 forecast'!$D$437:$AF$517, 13,FALSE)</f>
        <v>29754.276383339547</v>
      </c>
      <c r="O90" s="520">
        <f>VLOOKUP($B90,'[12]Div 9 forecast'!$D$437:$AF$517, 14,FALSE)</f>
        <v>29867.456777517975</v>
      </c>
      <c r="P90" s="287">
        <f t="shared" si="7"/>
        <v>379869.58454602241</v>
      </c>
      <c r="Q90" s="771"/>
      <c r="R90" s="771"/>
      <c r="S90" s="771"/>
      <c r="T90" s="771"/>
      <c r="U90" s="771"/>
    </row>
    <row r="91" spans="1:21">
      <c r="A91" s="325">
        <f t="shared" si="9"/>
        <v>80</v>
      </c>
      <c r="B91" s="396">
        <v>9040</v>
      </c>
      <c r="C91" s="204" t="s">
        <v>957</v>
      </c>
      <c r="D91" s="782">
        <f>'[10]Div 009'!C201</f>
        <v>116325</v>
      </c>
      <c r="E91" s="782">
        <f>'[10]Div 009'!D201</f>
        <v>24247</v>
      </c>
      <c r="F91" s="782">
        <f>'[10]Div 009'!E201</f>
        <v>19571</v>
      </c>
      <c r="G91" s="782">
        <f>'[10]Div 009'!F201</f>
        <v>175706</v>
      </c>
      <c r="H91" s="782">
        <f>'[10]Div 009'!G201</f>
        <v>19482</v>
      </c>
      <c r="I91" s="782">
        <f>'[10]Div 009'!H201</f>
        <v>19404</v>
      </c>
      <c r="J91" s="520">
        <f>VLOOKUP($B91,'[12]Div 9 forecast'!$D$437:$AF$517, 9,FALSE)</f>
        <v>19353.669999999998</v>
      </c>
      <c r="K91" s="520">
        <f>VLOOKUP($B91,'[12]Div 9 forecast'!$D$437:$AF$517, 10,FALSE)</f>
        <v>23326.492099999999</v>
      </c>
      <c r="L91" s="520">
        <f>VLOOKUP($B91,'[12]Div 9 forecast'!$D$437:$AF$517, 11,FALSE)</f>
        <v>28927.181799999998</v>
      </c>
      <c r="M91" s="520">
        <f>VLOOKUP($B91,'[12]Div 9 forecast'!$D$437:$AF$517, 12,FALSE)</f>
        <v>38323.659299999999</v>
      </c>
      <c r="N91" s="520">
        <f>VLOOKUP($B91,'[12]Div 9 forecast'!$D$437:$AF$517, 13,FALSE)</f>
        <v>43791.047299999998</v>
      </c>
      <c r="O91" s="520">
        <f>VLOOKUP($B91,'[12]Div 9 forecast'!$D$437:$AF$517, 14,FALSE)</f>
        <v>35864.659899999999</v>
      </c>
      <c r="P91" s="287">
        <f t="shared" si="7"/>
        <v>564321.71039999998</v>
      </c>
      <c r="Q91" s="204"/>
      <c r="R91" s="204"/>
      <c r="S91" s="204"/>
    </row>
    <row r="92" spans="1:21">
      <c r="A92" s="325">
        <f t="shared" si="9"/>
        <v>81</v>
      </c>
      <c r="B92" s="396">
        <v>9090</v>
      </c>
      <c r="C92" s="204" t="s">
        <v>958</v>
      </c>
      <c r="D92" s="782">
        <f>'[10]Div 009'!C202</f>
        <v>13254.63</v>
      </c>
      <c r="E92" s="782">
        <f>'[10]Div 009'!D202</f>
        <v>10828.580000000002</v>
      </c>
      <c r="F92" s="782">
        <f>'[10]Div 009'!E202</f>
        <v>10459.480000000001</v>
      </c>
      <c r="G92" s="782">
        <f>'[10]Div 009'!F202</f>
        <v>9693.25</v>
      </c>
      <c r="H92" s="782">
        <f>'[10]Div 009'!G202</f>
        <v>9061</v>
      </c>
      <c r="I92" s="782">
        <f>'[10]Div 009'!H202</f>
        <v>11759.7</v>
      </c>
      <c r="J92" s="520">
        <f>VLOOKUP($B92,'[12]Div 9 forecast'!$D$437:$AF$517, 9,FALSE)</f>
        <v>10077.151073149667</v>
      </c>
      <c r="K92" s="520">
        <f>VLOOKUP($B92,'[12]Div 9 forecast'!$D$437:$AF$517, 10,FALSE)</f>
        <v>10445.978825107728</v>
      </c>
      <c r="L92" s="520">
        <f>VLOOKUP($B92,'[12]Div 9 forecast'!$D$437:$AF$517, 11,FALSE)</f>
        <v>9702.8456945889011</v>
      </c>
      <c r="M92" s="520">
        <f>VLOOKUP($B92,'[12]Div 9 forecast'!$D$437:$AF$517, 12,FALSE)</f>
        <v>10477.361251187627</v>
      </c>
      <c r="N92" s="520">
        <f>VLOOKUP($B92,'[12]Div 9 forecast'!$D$437:$AF$517, 13,FALSE)</f>
        <v>9684.9952905439059</v>
      </c>
      <c r="O92" s="520">
        <f>VLOOKUP($B92,'[12]Div 9 forecast'!$D$437:$AF$517, 14,FALSE)</f>
        <v>9707.4605098010543</v>
      </c>
      <c r="P92" s="287">
        <f t="shared" si="7"/>
        <v>125152.43264437889</v>
      </c>
      <c r="Q92" s="204"/>
      <c r="R92" s="204"/>
      <c r="S92" s="204"/>
    </row>
    <row r="93" spans="1:21" s="1058" customFormat="1">
      <c r="A93" s="325">
        <f t="shared" si="9"/>
        <v>82</v>
      </c>
      <c r="B93" s="396">
        <v>9100</v>
      </c>
      <c r="C93" s="204" t="s">
        <v>959</v>
      </c>
      <c r="D93" s="782">
        <f>'[10]Div 009'!C203</f>
        <v>0</v>
      </c>
      <c r="E93" s="782">
        <f>'[10]Div 009'!D203</f>
        <v>0</v>
      </c>
      <c r="F93" s="782">
        <f>'[10]Div 009'!E203</f>
        <v>0</v>
      </c>
      <c r="G93" s="782">
        <f>'[10]Div 009'!F203</f>
        <v>0</v>
      </c>
      <c r="H93" s="782">
        <f>'[10]Div 009'!G203</f>
        <v>0</v>
      </c>
      <c r="I93" s="782">
        <f>'[10]Div 009'!H203</f>
        <v>85</v>
      </c>
      <c r="J93" s="520">
        <f>VLOOKUP($B93,'[12]Div 9 forecast'!$D$437:$AF$517, 9,FALSE)</f>
        <v>20.804444358192605</v>
      </c>
      <c r="K93" s="520">
        <f>VLOOKUP($B93,'[12]Div 9 forecast'!$D$437:$AF$517, 10,FALSE)</f>
        <v>19.059756159003275</v>
      </c>
      <c r="L93" s="520">
        <f>VLOOKUP($B93,'[12]Div 9 forecast'!$D$437:$AF$517, 11,FALSE)</f>
        <v>11.74575177838436</v>
      </c>
      <c r="M93" s="520">
        <f>VLOOKUP($B93,'[12]Div 9 forecast'!$D$437:$AF$517, 12,FALSE)</f>
        <v>8.2054167573347652</v>
      </c>
      <c r="N93" s="520">
        <f>VLOOKUP($B93,'[12]Div 9 forecast'!$D$437:$AF$517, 13,FALSE)</f>
        <v>27.972780680483876</v>
      </c>
      <c r="O93" s="520">
        <f>VLOOKUP($B93,'[12]Div 9 forecast'!$D$437:$AF$517, 14,FALSE)</f>
        <v>10.995414318812838</v>
      </c>
      <c r="P93" s="287">
        <f t="shared" si="7"/>
        <v>183.78356405221172</v>
      </c>
      <c r="Q93" s="204"/>
      <c r="R93" s="204"/>
      <c r="S93" s="204"/>
    </row>
    <row r="94" spans="1:21">
      <c r="A94" s="325">
        <f t="shared" si="9"/>
        <v>83</v>
      </c>
      <c r="B94" s="396">
        <v>9110</v>
      </c>
      <c r="C94" s="204" t="s">
        <v>960</v>
      </c>
      <c r="D94" s="782">
        <f>'[10]Div 009'!C204</f>
        <v>25969.919999999998</v>
      </c>
      <c r="E94" s="782">
        <f>'[10]Div 009'!D204</f>
        <v>21692.069999999996</v>
      </c>
      <c r="F94" s="782">
        <f>'[10]Div 009'!E204</f>
        <v>23129.510000000002</v>
      </c>
      <c r="G94" s="782">
        <f>'[10]Div 009'!F204</f>
        <v>20081</v>
      </c>
      <c r="H94" s="782">
        <f>'[10]Div 009'!G204</f>
        <v>20661.920000000002</v>
      </c>
      <c r="I94" s="782">
        <f>'[10]Div 009'!H204</f>
        <v>20121.519999999997</v>
      </c>
      <c r="J94" s="520">
        <f>VLOOKUP($B94,'[12]Div 9 forecast'!$D$437:$AF$517, 9,FALSE)</f>
        <v>22042.555614759964</v>
      </c>
      <c r="K94" s="520">
        <f>VLOOKUP($B94,'[12]Div 9 forecast'!$D$437:$AF$517, 10,FALSE)</f>
        <v>22626.745178017976</v>
      </c>
      <c r="L94" s="520">
        <f>VLOOKUP($B94,'[12]Div 9 forecast'!$D$437:$AF$517, 11,FALSE)</f>
        <v>19256.641307057555</v>
      </c>
      <c r="M94" s="520">
        <f>VLOOKUP($B94,'[12]Div 9 forecast'!$D$437:$AF$517, 12,FALSE)</f>
        <v>19713.086385617135</v>
      </c>
      <c r="N94" s="520">
        <f>VLOOKUP($B94,'[12]Div 9 forecast'!$D$437:$AF$517, 13,FALSE)</f>
        <v>23332.601016946988</v>
      </c>
      <c r="O94" s="520">
        <f>VLOOKUP($B94,'[12]Div 9 forecast'!$D$437:$AF$517, 14,FALSE)</f>
        <v>19119.135529537121</v>
      </c>
      <c r="P94" s="287">
        <f t="shared" si="7"/>
        <v>257746.70503193676</v>
      </c>
      <c r="Q94" s="204"/>
      <c r="R94" s="209"/>
      <c r="S94" s="204"/>
    </row>
    <row r="95" spans="1:21">
      <c r="A95" s="325">
        <f t="shared" si="9"/>
        <v>84</v>
      </c>
      <c r="B95" s="396">
        <v>9120</v>
      </c>
      <c r="C95" s="204" t="s">
        <v>961</v>
      </c>
      <c r="D95" s="782">
        <f>'[10]Div 009'!C205</f>
        <v>4837.5599999999995</v>
      </c>
      <c r="E95" s="782">
        <f>'[10]Div 009'!D205</f>
        <v>2654.57</v>
      </c>
      <c r="F95" s="782">
        <f>'[10]Div 009'!E205</f>
        <v>3217.8700000000003</v>
      </c>
      <c r="G95" s="782">
        <f>'[10]Div 009'!F205</f>
        <v>3010.72</v>
      </c>
      <c r="H95" s="782">
        <f>'[10]Div 009'!G205</f>
        <v>5580.03</v>
      </c>
      <c r="I95" s="782">
        <f>'[10]Div 009'!H205</f>
        <v>6680.0300000000007</v>
      </c>
      <c r="J95" s="520">
        <f>VLOOKUP($B95,'[12]Div 9 forecast'!$D$437:$AF$517, 9,FALSE)</f>
        <v>6359.0081399110968</v>
      </c>
      <c r="K95" s="520">
        <f>VLOOKUP($B95,'[12]Div 9 forecast'!$D$437:$AF$517, 10,FALSE)</f>
        <v>5825.7333131848127</v>
      </c>
      <c r="L95" s="520">
        <f>VLOOKUP($B95,'[12]Div 9 forecast'!$D$437:$AF$517, 11,FALSE)</f>
        <v>3590.1622692801502</v>
      </c>
      <c r="M95" s="520">
        <f>VLOOKUP($B95,'[12]Div 9 forecast'!$D$437:$AF$517, 12,FALSE)</f>
        <v>2508.0367950662107</v>
      </c>
      <c r="N95" s="520">
        <f>VLOOKUP($B95,'[12]Div 9 forecast'!$D$437:$AF$517, 13,FALSE)</f>
        <v>8550.0548335047279</v>
      </c>
      <c r="O95" s="520">
        <f>VLOOKUP($B95,'[12]Div 9 forecast'!$D$437:$AF$517, 14,FALSE)</f>
        <v>3360.8169461873667</v>
      </c>
      <c r="P95" s="287">
        <f t="shared" si="7"/>
        <v>56174.592297134361</v>
      </c>
      <c r="Q95" s="204"/>
      <c r="R95" s="209"/>
      <c r="S95" s="204"/>
    </row>
    <row r="96" spans="1:21">
      <c r="A96" s="325">
        <f t="shared" si="9"/>
        <v>85</v>
      </c>
      <c r="B96" s="396">
        <v>9130</v>
      </c>
      <c r="C96" s="204" t="s">
        <v>962</v>
      </c>
      <c r="D96" s="782">
        <f>'[10]Div 009'!C206</f>
        <v>1518.5</v>
      </c>
      <c r="E96" s="782">
        <f>'[10]Div 009'!D206</f>
        <v>2316.4</v>
      </c>
      <c r="F96" s="782">
        <f>'[10]Div 009'!E206</f>
        <v>2743.6</v>
      </c>
      <c r="G96" s="782">
        <f>'[10]Div 009'!F206</f>
        <v>1195.6199999999999</v>
      </c>
      <c r="H96" s="782">
        <f>'[10]Div 009'!G206</f>
        <v>1209.0999999999999</v>
      </c>
      <c r="I96" s="782">
        <f>'[10]Div 009'!H206</f>
        <v>1707.1799999999998</v>
      </c>
      <c r="J96" s="520">
        <f>VLOOKUP($B96,'[12]Div 9 forecast'!$D$437:$AF$517, 9,FALSE)</f>
        <v>2616.5627290214375</v>
      </c>
      <c r="K96" s="520">
        <f>VLOOKUP($B96,'[12]Div 9 forecast'!$D$437:$AF$517, 10,FALSE)</f>
        <v>2397.1343204965715</v>
      </c>
      <c r="L96" s="520">
        <f>VLOOKUP($B96,'[12]Div 9 forecast'!$D$437:$AF$517, 11,FALSE)</f>
        <v>1477.2562919016489</v>
      </c>
      <c r="M96" s="520">
        <f>VLOOKUP($B96,'[12]Div 9 forecast'!$D$437:$AF$517, 12,FALSE)</f>
        <v>1031.9904388542539</v>
      </c>
      <c r="N96" s="520">
        <f>VLOOKUP($B96,'[12]Div 9 forecast'!$D$437:$AF$517, 13,FALSE)</f>
        <v>3518.1201716075866</v>
      </c>
      <c r="O96" s="520">
        <f>VLOOKUP($B96,'[12]Div 9 forecast'!$D$437:$AF$517, 14,FALSE)</f>
        <v>1382.8867909863145</v>
      </c>
      <c r="P96" s="287">
        <f t="shared" si="7"/>
        <v>23114.350742867809</v>
      </c>
      <c r="Q96" s="204"/>
      <c r="R96" s="204"/>
      <c r="S96" s="204"/>
    </row>
    <row r="97" spans="1:19">
      <c r="A97" s="325">
        <f t="shared" si="9"/>
        <v>86</v>
      </c>
      <c r="B97" s="396">
        <v>9200</v>
      </c>
      <c r="C97" s="119" t="s">
        <v>187</v>
      </c>
      <c r="D97" s="782">
        <f>'[10]Div 009'!C207</f>
        <v>12707.710000000001</v>
      </c>
      <c r="E97" s="782">
        <f>'[10]Div 009'!D207</f>
        <v>12580.02</v>
      </c>
      <c r="F97" s="782">
        <f>'[10]Div 009'!E207</f>
        <v>10884.4</v>
      </c>
      <c r="G97" s="782">
        <f>'[10]Div 009'!F207</f>
        <v>10341.33</v>
      </c>
      <c r="H97" s="782">
        <f>'[10]Div 009'!G207</f>
        <v>11470.779999999999</v>
      </c>
      <c r="I97" s="782">
        <f>'[10]Div 009'!H207</f>
        <v>10422.359999999999</v>
      </c>
      <c r="J97" s="520">
        <f>VLOOKUP($B97,'[12]Div 9 forecast'!$D$437:$AF$517, 9,FALSE)</f>
        <v>11448.097855261576</v>
      </c>
      <c r="K97" s="520">
        <f>VLOOKUP($B97,'[12]Div 9 forecast'!$D$437:$AF$517, 10,FALSE)</f>
        <v>11025.913104683399</v>
      </c>
      <c r="L97" s="520">
        <f>VLOOKUP($B97,'[12]Div 9 forecast'!$D$437:$AF$517, 11,FALSE)</f>
        <v>10582.597952988071</v>
      </c>
      <c r="M97" s="520">
        <f>VLOOKUP($B97,'[12]Div 9 forecast'!$D$437:$AF$517, 12,FALSE)</f>
        <v>11469.228256378728</v>
      </c>
      <c r="N97" s="520">
        <f>VLOOKUP($B97,'[12]Div 9 forecast'!$D$437:$AF$517, 13,FALSE)</f>
        <v>10582.597952988071</v>
      </c>
      <c r="O97" s="520">
        <f>VLOOKUP($B97,'[12]Div 9 forecast'!$D$437:$AF$517, 14,FALSE)</f>
        <v>10582.597952988071</v>
      </c>
      <c r="P97" s="287">
        <f t="shared" ref="P97" si="10">SUM(D97:O97)</f>
        <v>134097.63307528791</v>
      </c>
      <c r="Q97" s="204"/>
      <c r="R97" s="209"/>
      <c r="S97" s="204"/>
    </row>
    <row r="98" spans="1:19">
      <c r="A98" s="325">
        <f t="shared" si="9"/>
        <v>87</v>
      </c>
      <c r="B98" s="396">
        <v>9210</v>
      </c>
      <c r="C98" s="204" t="s">
        <v>963</v>
      </c>
      <c r="D98" s="782">
        <f>'[10]Div 009'!C208</f>
        <v>2050.1099999999997</v>
      </c>
      <c r="E98" s="782">
        <f>'[10]Div 009'!D208</f>
        <v>374.2</v>
      </c>
      <c r="F98" s="782">
        <f>'[10]Div 009'!E208</f>
        <v>-50</v>
      </c>
      <c r="G98" s="782">
        <f>'[10]Div 009'!F208</f>
        <v>1058.8800000000001</v>
      </c>
      <c r="H98" s="782">
        <f>'[10]Div 009'!G208</f>
        <v>784.09</v>
      </c>
      <c r="I98" s="782">
        <f>'[10]Div 009'!H208</f>
        <v>291.29999999999995</v>
      </c>
      <c r="J98" s="520">
        <f>VLOOKUP($B98,'[12]Div 9 forecast'!$D$437:$AF$517, 9,FALSE)</f>
        <v>474.18724170309872</v>
      </c>
      <c r="K98" s="520">
        <f>VLOOKUP($B98,'[12]Div 9 forecast'!$D$437:$AF$517, 10,FALSE)</f>
        <v>568.7192730069246</v>
      </c>
      <c r="L98" s="520">
        <f>VLOOKUP($B98,'[12]Div 9 forecast'!$D$437:$AF$517, 11,FALSE)</f>
        <v>474.97241968299255</v>
      </c>
      <c r="M98" s="520">
        <f>VLOOKUP($B98,'[12]Div 9 forecast'!$D$437:$AF$517, 12,FALSE)</f>
        <v>530.19736756898271</v>
      </c>
      <c r="N98" s="520">
        <f>VLOOKUP($B98,'[12]Div 9 forecast'!$D$437:$AF$517, 13,FALSE)</f>
        <v>574.29439170761214</v>
      </c>
      <c r="O98" s="520">
        <f>VLOOKUP($B98,'[12]Div 9 forecast'!$D$437:$AF$517, 14,FALSE)</f>
        <v>479.03295254295307</v>
      </c>
      <c r="P98" s="287">
        <f t="shared" si="7"/>
        <v>7609.9836462125641</v>
      </c>
      <c r="Q98" s="204"/>
      <c r="R98" s="209"/>
      <c r="S98" s="204"/>
    </row>
    <row r="99" spans="1:19">
      <c r="A99" s="325">
        <f t="shared" si="9"/>
        <v>88</v>
      </c>
      <c r="B99" s="396">
        <v>9220</v>
      </c>
      <c r="C99" s="204" t="s">
        <v>964</v>
      </c>
      <c r="D99" s="782">
        <f>'[10]Div 009'!C209</f>
        <v>1048979.1000000001</v>
      </c>
      <c r="E99" s="782">
        <f>'[10]Div 009'!D209</f>
        <v>1007781.6000000001</v>
      </c>
      <c r="F99" s="782">
        <f>'[10]Div 009'!E209</f>
        <v>1111531.03</v>
      </c>
      <c r="G99" s="782">
        <f>'[10]Div 009'!F209</f>
        <v>964157.01</v>
      </c>
      <c r="H99" s="782">
        <f>'[10]Div 009'!G209</f>
        <v>1761549.62</v>
      </c>
      <c r="I99" s="782">
        <f>'[10]Div 009'!H209</f>
        <v>503333.84</v>
      </c>
      <c r="J99" s="123">
        <f>-('C.2.2 B 02'!J40+'C.2.2 B 12'!J34+'C.2.2 B 91'!J54)</f>
        <v>1096346.9718877953</v>
      </c>
      <c r="K99" s="123">
        <f>-('C.2.2 B 02'!K40+'C.2.2 B 12'!K34+'C.2.2 B 91'!K54)</f>
        <v>1106534.9729298446</v>
      </c>
      <c r="L99" s="123">
        <f>-('C.2.2 B 02'!L40+'C.2.2 B 12'!L34+'C.2.2 B 91'!L54)</f>
        <v>1113570.6185640928</v>
      </c>
      <c r="M99" s="123">
        <f>-('C.2.2 B 02'!M40+'C.2.2 B 12'!M34+'C.2.2 B 91'!M54)</f>
        <v>1186407.1913216305</v>
      </c>
      <c r="N99" s="123">
        <f>-('C.2.2 B 02'!N40+'C.2.2 B 12'!N34+'C.2.2 B 91'!N54)</f>
        <v>1104262.7480620639</v>
      </c>
      <c r="O99" s="123">
        <f>-('C.2.2 B 02'!O40+'C.2.2 B 12'!O34+'C.2.2 B 91'!O54)</f>
        <v>1065764.4150228188</v>
      </c>
      <c r="P99" s="287">
        <f>SUM(D99:O99)</f>
        <v>13070219.117788246</v>
      </c>
      <c r="Q99" s="771"/>
      <c r="R99" s="1088"/>
      <c r="S99" s="287"/>
    </row>
    <row r="100" spans="1:19">
      <c r="A100" s="325">
        <f t="shared" si="9"/>
        <v>89</v>
      </c>
      <c r="B100" s="396">
        <v>9230</v>
      </c>
      <c r="C100" s="204" t="s">
        <v>965</v>
      </c>
      <c r="D100" s="782">
        <f>'[10]Div 009'!C210</f>
        <v>5000</v>
      </c>
      <c r="E100" s="782">
        <f>'[10]Div 009'!D210</f>
        <v>16505.96</v>
      </c>
      <c r="F100" s="782">
        <f>'[10]Div 009'!E210</f>
        <v>15128</v>
      </c>
      <c r="G100" s="782">
        <f>'[10]Div 009'!F210</f>
        <v>26698.15</v>
      </c>
      <c r="H100" s="782">
        <f>'[10]Div 009'!G210</f>
        <v>28801.38</v>
      </c>
      <c r="I100" s="782">
        <f>'[10]Div 009'!H210</f>
        <v>17583.39</v>
      </c>
      <c r="J100" s="520">
        <f>VLOOKUP($B100,'[12]Div 9 forecast'!$D$437:$AF$517, 9,FALSE)</f>
        <v>15156.142124985698</v>
      </c>
      <c r="K100" s="520">
        <f>VLOOKUP($B100,'[12]Div 9 forecast'!$D$437:$AF$517, 10,FALSE)</f>
        <v>15352.499896005793</v>
      </c>
      <c r="L100" s="520">
        <f>VLOOKUP($B100,'[12]Div 9 forecast'!$D$437:$AF$517, 11,FALSE)</f>
        <v>15354.214436103812</v>
      </c>
      <c r="M100" s="520">
        <f>VLOOKUP($B100,'[12]Div 9 forecast'!$D$437:$AF$517, 12,FALSE)</f>
        <v>15356.149753148897</v>
      </c>
      <c r="N100" s="520">
        <f>VLOOKUP($B100,'[12]Div 9 forecast'!$D$437:$AF$517, 13,FALSE)</f>
        <v>15351.039175670536</v>
      </c>
      <c r="O100" s="520">
        <f>VLOOKUP($B100,'[12]Div 9 forecast'!$D$437:$AF$517, 14,FALSE)</f>
        <v>15345.571293424473</v>
      </c>
      <c r="P100" s="287">
        <f t="shared" si="7"/>
        <v>201632.49667933921</v>
      </c>
      <c r="Q100" s="204"/>
      <c r="R100" s="209"/>
      <c r="S100" s="204"/>
    </row>
    <row r="101" spans="1:19">
      <c r="A101" s="325">
        <f t="shared" si="9"/>
        <v>90</v>
      </c>
      <c r="B101" s="396">
        <v>9240</v>
      </c>
      <c r="C101" s="204" t="s">
        <v>966</v>
      </c>
      <c r="D101" s="782">
        <f>'[10]Div 009'!C211</f>
        <v>14569.170000000002</v>
      </c>
      <c r="E101" s="782">
        <f>'[10]Div 009'!D211</f>
        <v>13795.710000000003</v>
      </c>
      <c r="F101" s="782">
        <f>'[10]Div 009'!E211</f>
        <v>13774.810000000001</v>
      </c>
      <c r="G101" s="782">
        <f>'[10]Div 009'!F211</f>
        <v>12964.590000000004</v>
      </c>
      <c r="H101" s="782">
        <f>'[10]Div 009'!G211</f>
        <v>12827.59</v>
      </c>
      <c r="I101" s="782">
        <f>'[10]Div 009'!H211</f>
        <v>12682.93</v>
      </c>
      <c r="J101" s="520">
        <f>VLOOKUP($B101,'[12]Div 9 forecast'!$D$437:$AF$517, 9,FALSE)</f>
        <v>978.9117505371205</v>
      </c>
      <c r="K101" s="520">
        <f>VLOOKUP($B101,'[12]Div 9 forecast'!$D$437:$AF$517, 10,FALSE)</f>
        <v>679.37987320095499</v>
      </c>
      <c r="L101" s="520">
        <f>VLOOKUP($B101,'[12]Div 9 forecast'!$D$437:$AF$517, 11,FALSE)</f>
        <v>679.37987320095499</v>
      </c>
      <c r="M101" s="520">
        <f>VLOOKUP($B101,'[12]Div 9 forecast'!$D$437:$AF$517, 12,FALSE)</f>
        <v>679.37987320095499</v>
      </c>
      <c r="N101" s="520">
        <f>VLOOKUP($B101,'[12]Div 9 forecast'!$D$437:$AF$517, 13,FALSE)</f>
        <v>679.37987320095499</v>
      </c>
      <c r="O101" s="520">
        <f>VLOOKUP($B101,'[12]Div 9 forecast'!$D$437:$AF$517, 14,FALSE)</f>
        <v>679.37987320095499</v>
      </c>
      <c r="P101" s="287">
        <f t="shared" si="7"/>
        <v>84990.611116541942</v>
      </c>
      <c r="Q101" s="204"/>
      <c r="R101" s="209"/>
      <c r="S101" s="204"/>
    </row>
    <row r="102" spans="1:19">
      <c r="A102" s="325">
        <f t="shared" si="9"/>
        <v>91</v>
      </c>
      <c r="B102" s="396">
        <v>9250</v>
      </c>
      <c r="C102" s="204" t="s">
        <v>967</v>
      </c>
      <c r="D102" s="782">
        <f>'[10]Div 009'!C212</f>
        <v>367.52</v>
      </c>
      <c r="E102" s="782">
        <f>'[10]Div 009'!D212</f>
        <v>114712.07</v>
      </c>
      <c r="F102" s="782">
        <f>'[10]Div 009'!E212</f>
        <v>4709.7800000000007</v>
      </c>
      <c r="G102" s="782">
        <f>'[10]Div 009'!F212</f>
        <v>201.04999999999998</v>
      </c>
      <c r="H102" s="782">
        <f>'[10]Div 009'!G212</f>
        <v>4757.2299999999996</v>
      </c>
      <c r="I102" s="782">
        <f>'[10]Div 009'!H212</f>
        <v>1613.07</v>
      </c>
      <c r="J102" s="520">
        <f>VLOOKUP($B102,'[12]Div 9 forecast'!$D$437:$AF$517, 9,FALSE)</f>
        <v>17281.029880148395</v>
      </c>
      <c r="K102" s="520">
        <f>VLOOKUP($B102,'[12]Div 9 forecast'!$D$437:$AF$517, 10,FALSE)</f>
        <v>17719.864597458512</v>
      </c>
      <c r="L102" s="520">
        <f>VLOOKUP($B102,'[12]Div 9 forecast'!$D$437:$AF$517, 11,FALSE)</f>
        <v>17753.356802580875</v>
      </c>
      <c r="M102" s="520">
        <f>VLOOKUP($B102,'[12]Div 9 forecast'!$D$437:$AF$517, 12,FALSE)</f>
        <v>17792.213367870689</v>
      </c>
      <c r="N102" s="520">
        <f>VLOOKUP($B102,'[12]Div 9 forecast'!$D$437:$AF$517, 13,FALSE)</f>
        <v>17690.708070822329</v>
      </c>
      <c r="O102" s="520">
        <f>VLOOKUP($B102,'[12]Div 9 forecast'!$D$437:$AF$517, 14,FALSE)</f>
        <v>17582.825301733279</v>
      </c>
      <c r="P102" s="287">
        <f t="shared" si="7"/>
        <v>232180.71802061409</v>
      </c>
      <c r="Q102" s="204"/>
      <c r="R102" s="209"/>
      <c r="S102" s="204"/>
    </row>
    <row r="103" spans="1:19">
      <c r="A103" s="325">
        <f t="shared" si="9"/>
        <v>92</v>
      </c>
      <c r="B103" s="396">
        <v>9260</v>
      </c>
      <c r="C103" s="204" t="s">
        <v>968</v>
      </c>
      <c r="D103" s="782">
        <f>'[10]Div 009'!C213</f>
        <v>239184.93999999997</v>
      </c>
      <c r="E103" s="782">
        <f>'[10]Div 009'!D213</f>
        <v>199130.44000000006</v>
      </c>
      <c r="F103" s="782">
        <f>'[10]Div 009'!E213</f>
        <v>190844.51000000013</v>
      </c>
      <c r="G103" s="782">
        <f>'[10]Div 009'!F213</f>
        <v>188032.59000000011</v>
      </c>
      <c r="H103" s="782">
        <f>'[10]Div 009'!G213</f>
        <v>203542.82999999993</v>
      </c>
      <c r="I103" s="782">
        <f>'[10]Div 009'!H213</f>
        <v>165489.6399999999</v>
      </c>
      <c r="J103" s="520">
        <f>VLOOKUP($B103,'[12]Div 9 forecast'!$D$437:$AF$517, 9,FALSE)</f>
        <v>192558.10974872197</v>
      </c>
      <c r="K103" s="520">
        <f>VLOOKUP($B103,'[12]Div 9 forecast'!$D$437:$AF$517, 10,FALSE)</f>
        <v>165889.05894580614</v>
      </c>
      <c r="L103" s="520">
        <f>VLOOKUP($B103,'[12]Div 9 forecast'!$D$437:$AF$517, 11,FALSE)</f>
        <v>160405.9341118822</v>
      </c>
      <c r="M103" s="520">
        <f>VLOOKUP($B103,'[12]Div 9 forecast'!$D$437:$AF$517, 12,FALSE)</f>
        <v>174046.27767636869</v>
      </c>
      <c r="N103" s="520">
        <f>VLOOKUP($B103,'[12]Div 9 forecast'!$D$437:$AF$517, 13,FALSE)</f>
        <v>158904.57993927697</v>
      </c>
      <c r="O103" s="520">
        <f>VLOOKUP($B103,'[12]Div 9 forecast'!$D$437:$AF$517, 14,FALSE)</f>
        <v>156015.04880665118</v>
      </c>
      <c r="P103" s="287">
        <f>SUM(D103:O103)</f>
        <v>2194043.9592287075</v>
      </c>
      <c r="Q103" s="204"/>
      <c r="R103" s="209"/>
      <c r="S103" s="204"/>
    </row>
    <row r="104" spans="1:19">
      <c r="A104" s="325">
        <f t="shared" si="9"/>
        <v>93</v>
      </c>
      <c r="B104" s="396">
        <v>9270</v>
      </c>
      <c r="C104" s="204" t="s">
        <v>969</v>
      </c>
      <c r="D104" s="782">
        <f>'[10]Div 009'!C214</f>
        <v>0</v>
      </c>
      <c r="E104" s="782">
        <f>'[10]Div 009'!D214</f>
        <v>320.64999999999998</v>
      </c>
      <c r="F104" s="782">
        <f>'[10]Div 009'!E214</f>
        <v>0</v>
      </c>
      <c r="G104" s="782">
        <f>'[10]Div 009'!F214</f>
        <v>0</v>
      </c>
      <c r="H104" s="782">
        <f>'[10]Div 009'!G214</f>
        <v>0</v>
      </c>
      <c r="I104" s="782">
        <f>'[10]Div 009'!H214</f>
        <v>0</v>
      </c>
      <c r="J104" s="520">
        <f>VLOOKUP($B104,'[12]Div 9 forecast'!$D$437:$AF$517, 9,FALSE)</f>
        <v>31.131796978184095</v>
      </c>
      <c r="K104" s="520">
        <f>VLOOKUP($B104,'[12]Div 9 forecast'!$D$437:$AF$517, 10,FALSE)</f>
        <v>6.8781297713498875</v>
      </c>
      <c r="L104" s="520">
        <f>VLOOKUP($B104,'[12]Div 9 forecast'!$D$437:$AF$517, 11,FALSE)</f>
        <v>6.8781297713498875</v>
      </c>
      <c r="M104" s="520">
        <f>VLOOKUP($B104,'[12]Div 9 forecast'!$D$437:$AF$517, 12,FALSE)</f>
        <v>6.8781297713498875</v>
      </c>
      <c r="N104" s="520">
        <f>VLOOKUP($B104,'[12]Div 9 forecast'!$D$437:$AF$517, 13,FALSE)</f>
        <v>6.8781297713498875</v>
      </c>
      <c r="O104" s="520">
        <f>VLOOKUP($B104,'[12]Div 9 forecast'!$D$437:$AF$517, 14,FALSE)</f>
        <v>6.8781297713498875</v>
      </c>
      <c r="P104" s="287">
        <f t="shared" si="7"/>
        <v>386.17244583493357</v>
      </c>
      <c r="Q104" s="204"/>
      <c r="R104" s="209"/>
      <c r="S104" s="204"/>
    </row>
    <row r="105" spans="1:19">
      <c r="A105" s="325">
        <f t="shared" si="9"/>
        <v>94</v>
      </c>
      <c r="B105" s="396">
        <v>9280</v>
      </c>
      <c r="C105" s="204" t="s">
        <v>970</v>
      </c>
      <c r="D105" s="782">
        <f>'[10]Div 009'!C215</f>
        <v>-258.72000000000003</v>
      </c>
      <c r="E105" s="782">
        <f>'[10]Div 009'!D215</f>
        <v>0</v>
      </c>
      <c r="F105" s="782">
        <f>'[10]Div 009'!E215</f>
        <v>4256.79</v>
      </c>
      <c r="G105" s="782">
        <f>'[10]Div 009'!F215</f>
        <v>2299.5</v>
      </c>
      <c r="H105" s="782">
        <f>'[10]Div 009'!G215</f>
        <v>0</v>
      </c>
      <c r="I105" s="782">
        <f>'[10]Div 009'!H215</f>
        <v>0</v>
      </c>
      <c r="J105" s="520">
        <f>VLOOKUP($B105,'[12]Div 9 forecast'!$D$437:$AF$517, 9,FALSE)</f>
        <v>881.12427799364548</v>
      </c>
      <c r="K105" s="520">
        <f>VLOOKUP($B105,'[12]Div 9 forecast'!$D$437:$AF$517, 10,FALSE)</f>
        <v>911.73725018665618</v>
      </c>
      <c r="L105" s="520">
        <f>VLOOKUP($B105,'[12]Div 9 forecast'!$D$437:$AF$517, 11,FALSE)</f>
        <v>911.73725018665618</v>
      </c>
      <c r="M105" s="520">
        <f>VLOOKUP($B105,'[12]Div 9 forecast'!$D$437:$AF$517, 12,FALSE)</f>
        <v>911.73725018665618</v>
      </c>
      <c r="N105" s="520">
        <f>VLOOKUP($B105,'[12]Div 9 forecast'!$D$437:$AF$517, 13,FALSE)</f>
        <v>911.73725018665618</v>
      </c>
      <c r="O105" s="520">
        <f>VLOOKUP($B105,'[12]Div 9 forecast'!$D$437:$AF$517, 14,FALSE)</f>
        <v>911.73725018665618</v>
      </c>
      <c r="P105" s="287">
        <f t="shared" si="7"/>
        <v>11737.380528926924</v>
      </c>
      <c r="Q105" s="204"/>
      <c r="R105" s="209"/>
      <c r="S105" s="204"/>
    </row>
    <row r="106" spans="1:19">
      <c r="A106" s="325">
        <f t="shared" si="9"/>
        <v>95</v>
      </c>
      <c r="B106" s="396">
        <v>9302</v>
      </c>
      <c r="C106" s="204" t="s">
        <v>875</v>
      </c>
      <c r="D106" s="782">
        <f>'[10]Div 009'!C216</f>
        <v>2044.4</v>
      </c>
      <c r="E106" s="782">
        <f>'[10]Div 009'!D216</f>
        <v>8530</v>
      </c>
      <c r="F106" s="782">
        <f>'[10]Div 009'!E216</f>
        <v>350</v>
      </c>
      <c r="G106" s="782">
        <f>'[10]Div 009'!F216</f>
        <v>634.18000000000006</v>
      </c>
      <c r="H106" s="782">
        <f>'[10]Div 009'!G216</f>
        <v>3425</v>
      </c>
      <c r="I106" s="782">
        <f>'[10]Div 009'!H216</f>
        <v>11200</v>
      </c>
      <c r="J106" s="520">
        <f>VLOOKUP($B106,'[12]Div 9 forecast'!$D$437:$AF$517, 9,FALSE)</f>
        <v>2555.681226754627</v>
      </c>
      <c r="K106" s="520">
        <f>VLOOKUP($B106,'[12]Div 9 forecast'!$D$437:$AF$517, 10,FALSE)</f>
        <v>809.18469804998574</v>
      </c>
      <c r="L106" s="520">
        <f>VLOOKUP($B106,'[12]Div 9 forecast'!$D$437:$AF$517, 11,FALSE)</f>
        <v>4083.3953419365744</v>
      </c>
      <c r="M106" s="520">
        <f>VLOOKUP($B106,'[12]Div 9 forecast'!$D$437:$AF$517, 12,FALSE)</f>
        <v>1065.6613466830836</v>
      </c>
      <c r="N106" s="520">
        <f>VLOOKUP($B106,'[12]Div 9 forecast'!$D$437:$AF$517, 13,FALSE)</f>
        <v>6016.8319710824844</v>
      </c>
      <c r="O106" s="520">
        <f>VLOOKUP($B106,'[12]Div 9 forecast'!$D$437:$AF$517, 14,FALSE)</f>
        <v>1563.643480575729</v>
      </c>
      <c r="P106" s="287">
        <f t="shared" ref="P106:P108" si="11">SUM(D106:O106)</f>
        <v>42277.978065082491</v>
      </c>
      <c r="Q106" s="204"/>
      <c r="R106" s="209"/>
      <c r="S106" s="204"/>
    </row>
    <row r="107" spans="1:19">
      <c r="A107" s="325">
        <f t="shared" si="9"/>
        <v>96</v>
      </c>
      <c r="B107" s="396">
        <v>9310</v>
      </c>
      <c r="C107" s="119" t="s">
        <v>189</v>
      </c>
      <c r="D107" s="782">
        <f>'[10]Div 009'!C217</f>
        <v>1205.95</v>
      </c>
      <c r="E107" s="782">
        <f>'[10]Div 009'!D217</f>
        <v>1218.99</v>
      </c>
      <c r="F107" s="782">
        <f>'[10]Div 009'!E217</f>
        <v>1205.95</v>
      </c>
      <c r="G107" s="782">
        <f>'[10]Div 009'!F217</f>
        <v>1218.99</v>
      </c>
      <c r="H107" s="782">
        <f>'[10]Div 009'!G217</f>
        <v>1269.0899999999999</v>
      </c>
      <c r="I107" s="782">
        <f>'[10]Div 009'!H217</f>
        <v>1262.26</v>
      </c>
      <c r="J107" s="520">
        <f>VLOOKUP($B107,'[12]Div 9 forecast'!$D$437:$AF$517, 9,FALSE)</f>
        <v>1060.7689702700823</v>
      </c>
      <c r="K107" s="520">
        <f>VLOOKUP($B107,'[12]Div 9 forecast'!$D$437:$AF$517, 10,FALSE)</f>
        <v>1020.7838886422805</v>
      </c>
      <c r="L107" s="520">
        <f>VLOOKUP($B107,'[12]Div 9 forecast'!$D$437:$AF$517, 11,FALSE)</f>
        <v>1002.3665868911468</v>
      </c>
      <c r="M107" s="520">
        <f>VLOOKUP($B107,'[12]Div 9 forecast'!$D$437:$AF$517, 12,FALSE)</f>
        <v>1071.0308537297005</v>
      </c>
      <c r="N107" s="520">
        <f>VLOOKUP($B107,'[12]Div 9 forecast'!$D$437:$AF$517, 13,FALSE)</f>
        <v>1038.5426456347327</v>
      </c>
      <c r="O107" s="520">
        <f>VLOOKUP($B107,'[12]Div 9 forecast'!$D$437:$AF$517, 14,FALSE)</f>
        <v>1072.7430701022731</v>
      </c>
      <c r="P107" s="287">
        <f t="shared" si="11"/>
        <v>13647.466015270216</v>
      </c>
      <c r="Q107" s="204"/>
      <c r="R107" s="209"/>
      <c r="S107" s="204"/>
    </row>
    <row r="108" spans="1:19">
      <c r="A108" s="325">
        <f t="shared" si="9"/>
        <v>97</v>
      </c>
      <c r="B108" s="396">
        <v>9320</v>
      </c>
      <c r="C108" t="s">
        <v>190</v>
      </c>
      <c r="D108" s="782">
        <f>'[10]Div 009'!C218</f>
        <v>0</v>
      </c>
      <c r="E108" s="782">
        <f>'[10]Div 009'!D218</f>
        <v>0</v>
      </c>
      <c r="F108" s="782">
        <f>'[10]Div 009'!E218</f>
        <v>0</v>
      </c>
      <c r="G108" s="782">
        <f>'[10]Div 009'!F218</f>
        <v>1248.08</v>
      </c>
      <c r="H108" s="782">
        <f>'[10]Div 009'!G218</f>
        <v>0</v>
      </c>
      <c r="I108" s="782">
        <f>'[10]Div 009'!H218</f>
        <v>0</v>
      </c>
      <c r="J108" s="520">
        <f>VLOOKUP($B108,'[12]Div 9 forecast'!$D$437:$AF$517, 9,FALSE)</f>
        <v>119.94376094926857</v>
      </c>
      <c r="K108" s="520">
        <f>VLOOKUP($B108,'[12]Div 9 forecast'!$D$437:$AF$517, 10,FALSE)</f>
        <v>36.14788171679303</v>
      </c>
      <c r="L108" s="520">
        <f>VLOOKUP($B108,'[12]Div 9 forecast'!$D$437:$AF$517, 11,FALSE)</f>
        <v>195.51828080211249</v>
      </c>
      <c r="M108" s="520">
        <f>VLOOKUP($B108,'[12]Div 9 forecast'!$D$437:$AF$517, 12,FALSE)</f>
        <v>50.176391769339062</v>
      </c>
      <c r="N108" s="520">
        <f>VLOOKUP($B108,'[12]Div 9 forecast'!$D$437:$AF$517, 13,FALSE)</f>
        <v>286.54047393374833</v>
      </c>
      <c r="O108" s="520">
        <f>VLOOKUP($B108,'[12]Div 9 forecast'!$D$437:$AF$517, 14,FALSE)</f>
        <v>73.829112206771327</v>
      </c>
      <c r="P108" s="287">
        <f t="shared" si="11"/>
        <v>2010.2359013780328</v>
      </c>
      <c r="Q108" s="204"/>
      <c r="R108" s="204"/>
      <c r="S108" s="204"/>
    </row>
    <row r="109" spans="1:19">
      <c r="A109" s="325">
        <f t="shared" si="9"/>
        <v>98</v>
      </c>
      <c r="B109" s="204"/>
      <c r="C109" s="204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4"/>
      <c r="P109" s="290"/>
      <c r="Q109" s="290"/>
      <c r="R109" s="290"/>
      <c r="S109" s="290"/>
    </row>
    <row r="110" spans="1:19" ht="15.75" thickBot="1">
      <c r="A110" s="325">
        <f t="shared" si="9"/>
        <v>99</v>
      </c>
      <c r="B110" s="290"/>
      <c r="C110" s="290" t="s">
        <v>751</v>
      </c>
      <c r="D110" s="292">
        <f t="shared" ref="D110:O110" si="12">SUM(D14:D109)</f>
        <v>-4263974.1999999965</v>
      </c>
      <c r="E110" s="292">
        <f t="shared" si="12"/>
        <v>-2047228.1199999962</v>
      </c>
      <c r="F110" s="292">
        <f t="shared" si="12"/>
        <v>-953316.92000000074</v>
      </c>
      <c r="G110" s="292">
        <f t="shared" si="12"/>
        <v>-848925.84999999951</v>
      </c>
      <c r="H110" s="292">
        <f t="shared" si="12"/>
        <v>-37722.539999999979</v>
      </c>
      <c r="I110" s="292">
        <f t="shared" si="12"/>
        <v>-1385713.98</v>
      </c>
      <c r="J110" s="1046">
        <f t="shared" si="12"/>
        <v>-1242738.702612164</v>
      </c>
      <c r="K110" s="292">
        <f t="shared" si="12"/>
        <v>-1731569.089460081</v>
      </c>
      <c r="L110" s="292">
        <f t="shared" si="12"/>
        <v>-3335899.9628226394</v>
      </c>
      <c r="M110" s="292">
        <f t="shared" si="12"/>
        <v>-4965490.4334238106</v>
      </c>
      <c r="N110" s="292">
        <f t="shared" si="12"/>
        <v>-5560305.724584125</v>
      </c>
      <c r="O110" s="292">
        <f t="shared" si="12"/>
        <v>-5128273.9201333094</v>
      </c>
      <c r="P110" s="292">
        <f>SUM(P12:P109)</f>
        <v>-22051844.399824828</v>
      </c>
      <c r="Q110" s="293"/>
      <c r="R110" s="287"/>
      <c r="S110" s="290"/>
    </row>
    <row r="111" spans="1:19" ht="15.75" thickTop="1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</row>
    <row r="112" spans="1:19">
      <c r="A112" s="290"/>
      <c r="B112" s="290"/>
      <c r="C112" s="290" t="s">
        <v>202</v>
      </c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R112" s="290"/>
      <c r="S112" s="290"/>
    </row>
    <row r="113" spans="1:19">
      <c r="A113" s="290"/>
      <c r="B113" s="290"/>
      <c r="C113" s="291" t="s">
        <v>1236</v>
      </c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771"/>
      <c r="P113" s="290"/>
      <c r="Q113" s="290"/>
      <c r="R113" s="290"/>
      <c r="S113" s="290"/>
    </row>
    <row r="114" spans="1:19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P114" s="290"/>
      <c r="Q114" s="294"/>
      <c r="R114" s="290"/>
      <c r="S114" s="290"/>
    </row>
    <row r="115" spans="1:19">
      <c r="A115" s="290"/>
      <c r="B115" s="290"/>
      <c r="C115" s="290"/>
      <c r="D115" s="290"/>
      <c r="E115" s="290"/>
      <c r="F115" s="290"/>
      <c r="G115" s="290"/>
      <c r="H115" s="290"/>
      <c r="I115" s="290"/>
      <c r="J115" s="294"/>
      <c r="K115" s="294"/>
      <c r="L115" s="290"/>
      <c r="M115" s="290"/>
      <c r="N115" s="290"/>
      <c r="P115" s="106"/>
      <c r="Q115" s="106"/>
      <c r="R115" s="290"/>
      <c r="S115" s="290"/>
    </row>
    <row r="116" spans="1:19">
      <c r="A116" s="290"/>
      <c r="B116" s="290" t="s">
        <v>972</v>
      </c>
      <c r="C116" s="291"/>
      <c r="D116" s="290"/>
      <c r="E116" s="290"/>
      <c r="F116" s="294"/>
      <c r="G116" s="290"/>
      <c r="H116" s="290"/>
      <c r="I116" s="290"/>
      <c r="J116" s="294"/>
      <c r="K116" s="294"/>
      <c r="L116" s="290"/>
      <c r="M116" s="290"/>
      <c r="N116" s="290"/>
      <c r="P116" s="797"/>
      <c r="R116" s="290"/>
      <c r="S116" s="290"/>
    </row>
    <row r="117" spans="1:19">
      <c r="A117" s="290"/>
      <c r="B117" s="290" t="s">
        <v>1595</v>
      </c>
      <c r="C117" s="290"/>
      <c r="D117" s="295"/>
      <c r="E117" s="295"/>
      <c r="F117" s="295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4"/>
      <c r="R117" s="290"/>
      <c r="S117" s="290"/>
    </row>
    <row r="118" spans="1:19">
      <c r="A118" s="290"/>
      <c r="B118" s="1" t="s">
        <v>1594</v>
      </c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4"/>
      <c r="P118" s="290"/>
      <c r="Q118" s="294"/>
      <c r="R118" s="290"/>
      <c r="S118" s="290"/>
    </row>
    <row r="119" spans="1:19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P119" s="290"/>
      <c r="Q119" s="290"/>
      <c r="R119" s="290"/>
      <c r="S119" s="290"/>
    </row>
    <row r="120" spans="1:19">
      <c r="A120" s="290"/>
      <c r="B120" s="290"/>
      <c r="C120" s="290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504"/>
      <c r="P120" s="294"/>
      <c r="Q120" s="290"/>
      <c r="R120" s="290"/>
      <c r="S120" s="290"/>
    </row>
    <row r="121" spans="1:19">
      <c r="A121" s="290"/>
      <c r="B121" s="290"/>
      <c r="C121" s="290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33"/>
      <c r="P121" s="294"/>
      <c r="Q121" s="290"/>
      <c r="R121" s="290"/>
      <c r="S121" s="290"/>
    </row>
    <row r="122" spans="1:19">
      <c r="A122" s="290"/>
      <c r="B122" s="290"/>
      <c r="C122" s="771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33"/>
      <c r="P122" s="294"/>
      <c r="Q122" s="290"/>
      <c r="R122" s="290"/>
      <c r="S122" s="290"/>
    </row>
    <row r="123" spans="1:19">
      <c r="A123" s="290"/>
      <c r="B123" s="290"/>
      <c r="C123" s="290"/>
      <c r="D123" s="294"/>
      <c r="E123" s="294"/>
      <c r="F123" s="294"/>
      <c r="G123" s="294"/>
      <c r="H123" s="294"/>
      <c r="I123" s="294"/>
      <c r="J123" s="294"/>
      <c r="K123" s="294"/>
      <c r="L123" s="294"/>
      <c r="M123" s="294"/>
      <c r="N123" s="294"/>
      <c r="O123" s="233"/>
      <c r="P123" s="294"/>
      <c r="Q123" s="290"/>
      <c r="R123" s="290"/>
      <c r="S123" s="290"/>
    </row>
    <row r="124" spans="1:19">
      <c r="A124" s="290"/>
      <c r="B124" s="290"/>
      <c r="C124" s="771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504"/>
      <c r="P124" s="294"/>
      <c r="Q124" s="290"/>
      <c r="R124" s="290"/>
      <c r="S124" s="290"/>
    </row>
    <row r="125" spans="1:19">
      <c r="A125" s="290"/>
      <c r="B125" s="290"/>
      <c r="C125" s="119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33"/>
      <c r="P125" s="294"/>
      <c r="Q125" s="290"/>
      <c r="R125" s="290"/>
      <c r="S125" s="290"/>
    </row>
    <row r="126" spans="1:19">
      <c r="A126" s="290"/>
      <c r="B126" s="290"/>
      <c r="C126" s="119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33"/>
      <c r="P126" s="294"/>
      <c r="Q126" s="290"/>
      <c r="R126" s="290"/>
      <c r="S126" s="290"/>
    </row>
    <row r="127" spans="1:19">
      <c r="A127" s="290"/>
      <c r="B127" s="290"/>
      <c r="C127" s="119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0"/>
      <c r="R127" s="290"/>
      <c r="S127" s="290"/>
    </row>
    <row r="128" spans="1:19">
      <c r="A128" s="290"/>
      <c r="B128" s="290"/>
      <c r="C128" s="119"/>
      <c r="D128" s="294"/>
      <c r="E128" s="294"/>
      <c r="F128" s="294"/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0"/>
      <c r="R128" s="290"/>
      <c r="S128" s="290"/>
    </row>
    <row r="129" spans="3:16"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294"/>
    </row>
    <row r="130" spans="3:16"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294"/>
    </row>
    <row r="131" spans="3:16"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294"/>
    </row>
    <row r="132" spans="3:16"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294"/>
    </row>
    <row r="133" spans="3:16"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3:16"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</row>
    <row r="135" spans="3:16"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</row>
    <row r="136" spans="3:16">
      <c r="D136" s="1008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3:16"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</row>
    <row r="138" spans="3:16">
      <c r="D138" s="106"/>
      <c r="E138" s="106"/>
      <c r="F138" s="106"/>
      <c r="G138" s="106"/>
      <c r="H138" s="106"/>
      <c r="I138" s="106"/>
      <c r="J138" s="1128"/>
      <c r="K138" s="106"/>
      <c r="L138" s="106"/>
      <c r="M138" s="106"/>
      <c r="N138" s="106"/>
      <c r="O138" s="106"/>
      <c r="P138" s="106"/>
    </row>
    <row r="139" spans="3:16"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3:16">
      <c r="C140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9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1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G12" sqref="G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5" width="13.109375" bestFit="1" customWidth="1"/>
    <col min="6" max="6" width="11.44140625" customWidth="1"/>
    <col min="7" max="8" width="13.109375" bestFit="1" customWidth="1"/>
    <col min="9" max="9" width="11.1093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</row>
    <row r="5" spans="1:18">
      <c r="A5" s="1"/>
      <c r="B5" s="40"/>
      <c r="C5" s="40"/>
      <c r="D5" s="40"/>
      <c r="E5" s="40"/>
      <c r="F5" s="40"/>
      <c r="G5" s="275"/>
      <c r="H5" s="771"/>
      <c r="I5" s="83"/>
      <c r="J5" s="83"/>
      <c r="K5" s="83"/>
      <c r="L5" s="83"/>
      <c r="M5" s="83"/>
      <c r="N5" s="83"/>
      <c r="O5" s="83"/>
      <c r="P5" s="60"/>
      <c r="Q5" s="60"/>
    </row>
    <row r="6" spans="1:18" ht="15.75">
      <c r="A6" s="247" t="str">
        <f>'C.2.2 B 09'!A6</f>
        <v>Data:___X____Base Period________Forecasted Period</v>
      </c>
      <c r="B6" s="277"/>
      <c r="C6" s="247"/>
      <c r="D6" s="60"/>
      <c r="E6" s="60"/>
      <c r="F6" s="60"/>
      <c r="G6" s="60"/>
      <c r="H6" s="914"/>
      <c r="I6" s="60"/>
      <c r="K6" s="796"/>
      <c r="L6" s="60"/>
      <c r="M6" s="60"/>
      <c r="N6" s="83"/>
      <c r="O6" s="83"/>
      <c r="P6" s="665" t="s">
        <v>1524</v>
      </c>
      <c r="Q6" s="60"/>
    </row>
    <row r="7" spans="1:18">
      <c r="A7" s="247" t="str">
        <f>'C.2.2 B 09'!A7</f>
        <v>Type of Filing:___X____Original________Updated ________Revised</v>
      </c>
      <c r="B7" s="277"/>
      <c r="C7" s="247"/>
      <c r="D7" s="60"/>
      <c r="E7" s="771"/>
      <c r="F7" s="60"/>
      <c r="G7" s="60"/>
      <c r="H7" s="60"/>
      <c r="I7" s="60"/>
      <c r="J7" s="60"/>
      <c r="K7" s="60"/>
      <c r="L7" s="60"/>
      <c r="M7" s="60"/>
      <c r="N7" s="83"/>
      <c r="O7" s="83"/>
      <c r="P7" s="666" t="s">
        <v>38</v>
      </c>
      <c r="Q7" s="60"/>
    </row>
    <row r="8" spans="1:18">
      <c r="A8" s="247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397"/>
      <c r="P8" s="667" t="str">
        <f>C.1!J9</f>
        <v>Witness: Waller, Smith</v>
      </c>
      <c r="Q8" s="60"/>
    </row>
    <row r="9" spans="1:18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204"/>
    </row>
    <row r="10" spans="1:18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09'!F10</f>
        <v>42155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04"/>
    </row>
    <row r="11" spans="1:18">
      <c r="A11" s="60"/>
      <c r="B11" s="60"/>
      <c r="C11" s="268"/>
      <c r="D11" s="286" t="s">
        <v>151</v>
      </c>
      <c r="E11" s="286" t="s">
        <v>151</v>
      </c>
      <c r="F11" s="286" t="s">
        <v>151</v>
      </c>
      <c r="G11" s="286" t="s">
        <v>151</v>
      </c>
      <c r="H11" s="286" t="s">
        <v>151</v>
      </c>
      <c r="I11" s="286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04"/>
    </row>
    <row r="12" spans="1:18" s="1058" customFormat="1">
      <c r="A12" s="60"/>
      <c r="B12" s="1110" t="s">
        <v>750</v>
      </c>
      <c r="C12" s="130" t="s">
        <v>741</v>
      </c>
      <c r="D12" s="782">
        <f>SUM('[10]Div 002'!C$49:C$50)</f>
        <v>188488.59000000358</v>
      </c>
      <c r="E12" s="782">
        <f>SUM('[10]Div 002'!D$49:D$50)</f>
        <v>243921.77</v>
      </c>
      <c r="F12" s="782">
        <f>SUM('[10]Div 002'!E$49:E$50)</f>
        <v>682125.79</v>
      </c>
      <c r="G12" s="782">
        <f>SUM('[10]Div 002'!F$49:F$50)</f>
        <v>1051227.2899999991</v>
      </c>
      <c r="H12" s="782">
        <f>SUM('[10]Div 002'!G$49:G$50)</f>
        <v>3771359.7</v>
      </c>
      <c r="I12" s="782">
        <f>SUM('[10]Div 002'!H$49:H$50)</f>
        <v>-1129701.1500000001</v>
      </c>
      <c r="J12" s="782"/>
      <c r="K12" s="782"/>
      <c r="L12" s="782"/>
      <c r="M12" s="782"/>
      <c r="N12" s="782"/>
      <c r="O12" s="782"/>
      <c r="P12" s="204">
        <f t="shared" ref="P12:P13" si="0">SUM(D12:O12)</f>
        <v>4807421.9900000021</v>
      </c>
      <c r="Q12" s="204"/>
      <c r="R12" s="1060"/>
    </row>
    <row r="13" spans="1:18" s="1058" customFormat="1">
      <c r="A13" s="60"/>
      <c r="B13" s="60"/>
      <c r="C13" s="268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04">
        <f t="shared" si="0"/>
        <v>0</v>
      </c>
      <c r="Q13" s="204"/>
    </row>
    <row r="14" spans="1:18">
      <c r="A14" s="104">
        <v>1</v>
      </c>
      <c r="B14" s="396">
        <v>4030</v>
      </c>
      <c r="C14" s="268" t="s">
        <v>96</v>
      </c>
      <c r="D14" s="782">
        <f>'[10]Div 002'!C47</f>
        <v>-1.1525003174028825E-10</v>
      </c>
      <c r="E14" s="782">
        <f>'[10]Div 002'!D47</f>
        <v>-8.7311491370201111E-11</v>
      </c>
      <c r="F14" s="782">
        <f>'[10]Div 002'!E47</f>
        <v>-8.7311491370201111E-11</v>
      </c>
      <c r="G14" s="782">
        <f>'[10]Div 002'!F47</f>
        <v>-5.8207660913467407E-11</v>
      </c>
      <c r="H14" s="782">
        <f>'[10]Div 002'!G47</f>
        <v>-1.0186340659856796E-10</v>
      </c>
      <c r="I14" s="782">
        <f>'[10]Div 002'!H47</f>
        <v>-2.9103830456733704E-11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4">
        <f>SUM(D14:O14)</f>
        <v>-4.7904791244945955E-10</v>
      </c>
      <c r="Q14" s="771"/>
      <c r="R14" s="1060"/>
    </row>
    <row r="15" spans="1:18">
      <c r="A15" s="104">
        <f>A14+1</f>
        <v>2</v>
      </c>
      <c r="B15" s="400">
        <v>4081</v>
      </c>
      <c r="C15" s="204" t="s">
        <v>880</v>
      </c>
      <c r="D15" s="782">
        <f>'[10]Div 002'!C48</f>
        <v>-1.0000000079745774E-2</v>
      </c>
      <c r="E15" s="782">
        <f>'[10]Div 002'!D48</f>
        <v>1.0000000026138878E-2</v>
      </c>
      <c r="F15" s="782">
        <f>'[10]Div 002'!E48</f>
        <v>9.9999998451494321E-3</v>
      </c>
      <c r="G15" s="782">
        <f>'[10]Div 002'!F48</f>
        <v>4.8203219193965197E-11</v>
      </c>
      <c r="H15" s="782">
        <f>'[10]Div 002'!G48</f>
        <v>2.9999999999899107E-2</v>
      </c>
      <c r="I15" s="782">
        <f>'[10]Div 002'!H48</f>
        <v>1.9999999955237074E-2</v>
      </c>
      <c r="J15" s="782">
        <v>0</v>
      </c>
      <c r="K15" s="782">
        <v>0</v>
      </c>
      <c r="L15" s="782">
        <v>0</v>
      </c>
      <c r="M15" s="782">
        <v>0</v>
      </c>
      <c r="N15" s="782">
        <v>0</v>
      </c>
      <c r="O15" s="782">
        <v>0</v>
      </c>
      <c r="P15" s="204">
        <f>SUM(D15:O15)</f>
        <v>5.9999999794881936E-2</v>
      </c>
      <c r="Q15" s="771"/>
    </row>
    <row r="16" spans="1:18">
      <c r="A16" s="104">
        <f t="shared" ref="A16:A40" si="1">A15+1</f>
        <v>3</v>
      </c>
      <c r="B16" s="400">
        <v>8560</v>
      </c>
      <c r="C16" s="204" t="s">
        <v>928</v>
      </c>
      <c r="D16" s="782">
        <f>'[10]Div 002'!C63</f>
        <v>0</v>
      </c>
      <c r="E16" s="782">
        <f>'[10]Div 002'!D63</f>
        <v>555.19999999999982</v>
      </c>
      <c r="F16" s="782">
        <f>'[10]Div 002'!E63</f>
        <v>-229.90999999999985</v>
      </c>
      <c r="G16" s="782">
        <f>'[10]Div 002'!F63</f>
        <v>68.739999999999995</v>
      </c>
      <c r="H16" s="782">
        <f>'[10]Div 002'!G63</f>
        <v>46.490000000000023</v>
      </c>
      <c r="I16" s="782">
        <f>'[10]Div 002'!H63</f>
        <v>109.21</v>
      </c>
      <c r="J16" s="782">
        <f>VLOOKUP($B16, '[12]Div 2 forecast'!$D$251:$AF327,J$49,FALSE)</f>
        <v>168.31319621331158</v>
      </c>
      <c r="K16" s="782">
        <f>VLOOKUP($B16, '[12]Div 2 forecast'!$D$251:$AF327,K$49,FALSE)</f>
        <v>123.06347623187116</v>
      </c>
      <c r="L16" s="782">
        <f>VLOOKUP($B16, '[12]Div 2 forecast'!$D$251:$AF327,L$49,FALSE)</f>
        <v>122.62178395601271</v>
      </c>
      <c r="M16" s="782">
        <f>VLOOKUP($B16, '[12]Div 2 forecast'!$D$251:$AF327,M$49,FALSE)</f>
        <v>122.71190675555241</v>
      </c>
      <c r="N16" s="782">
        <f>VLOOKUP($B16, '[12]Div 2 forecast'!$D$251:$AF327,N$49,FALSE)</f>
        <v>123.01439310108097</v>
      </c>
      <c r="O16" s="782">
        <f>VLOOKUP($B16, '[12]Div 2 forecast'!$D$251:$AF327,O$49,FALSE)</f>
        <v>120.80237128735922</v>
      </c>
      <c r="P16" s="204">
        <f t="shared" ref="P16:P35" si="2">SUM(D16:O16)</f>
        <v>1330.257127545188</v>
      </c>
      <c r="Q16" s="204"/>
    </row>
    <row r="17" spans="1:17">
      <c r="A17" s="104">
        <f t="shared" si="1"/>
        <v>4</v>
      </c>
      <c r="B17" s="400">
        <v>8700</v>
      </c>
      <c r="C17" s="204" t="s">
        <v>932</v>
      </c>
      <c r="D17" s="782">
        <f>'[10]Div 002'!C64</f>
        <v>12344.87</v>
      </c>
      <c r="E17" s="782">
        <f>'[10]Div 002'!D64</f>
        <v>6006.1399999999994</v>
      </c>
      <c r="F17" s="782">
        <f>'[10]Div 002'!E64</f>
        <v>774.10999999999865</v>
      </c>
      <c r="G17" s="782">
        <f>'[10]Div 002'!F64</f>
        <v>150.88999999999817</v>
      </c>
      <c r="H17" s="782">
        <f>'[10]Div 002'!G64</f>
        <v>10189.64</v>
      </c>
      <c r="I17" s="782">
        <f>'[10]Div 002'!H64</f>
        <v>610.85999999999797</v>
      </c>
      <c r="J17" s="782">
        <f>VLOOKUP($B17, '[12]Div 2 forecast'!$D$251:$AF328,J$49,FALSE)</f>
        <v>9128.2736625265643</v>
      </c>
      <c r="K17" s="782">
        <f>VLOOKUP($B17, '[12]Div 2 forecast'!$D$251:$AF328,K$49,FALSE)</f>
        <v>6766.933543372952</v>
      </c>
      <c r="L17" s="782">
        <f>VLOOKUP($B17, '[12]Div 2 forecast'!$D$251:$AF328,L$49,FALSE)</f>
        <v>6715.9367995305147</v>
      </c>
      <c r="M17" s="782">
        <f>VLOOKUP($B17, '[12]Div 2 forecast'!$D$251:$AF328,M$49,FALSE)</f>
        <v>6769.975187592192</v>
      </c>
      <c r="N17" s="782">
        <f>VLOOKUP($B17, '[12]Div 2 forecast'!$D$251:$AF328,N$49,FALSE)</f>
        <v>6729.2783453771772</v>
      </c>
      <c r="O17" s="782">
        <f>VLOOKUP($B17, '[12]Div 2 forecast'!$D$251:$AF328,O$49,FALSE)</f>
        <v>6614.7658270827824</v>
      </c>
      <c r="P17" s="204">
        <f t="shared" si="2"/>
        <v>72801.673365482173</v>
      </c>
      <c r="Q17" s="204"/>
    </row>
    <row r="18" spans="1:17">
      <c r="A18" s="104">
        <f t="shared" si="1"/>
        <v>5</v>
      </c>
      <c r="B18" s="400">
        <v>8740</v>
      </c>
      <c r="C18" s="204" t="s">
        <v>934</v>
      </c>
      <c r="D18" s="782">
        <f>'[10]Div 002'!C65</f>
        <v>13304.42</v>
      </c>
      <c r="E18" s="782">
        <f>'[10]Div 002'!D65</f>
        <v>2002.1999999999998</v>
      </c>
      <c r="F18" s="782">
        <f>'[10]Div 002'!E65</f>
        <v>9281.380000000001</v>
      </c>
      <c r="G18" s="782">
        <f>'[10]Div 002'!F65</f>
        <v>11402.989999999998</v>
      </c>
      <c r="H18" s="782">
        <f>'[10]Div 002'!G65</f>
        <v>-1564.7399999999991</v>
      </c>
      <c r="I18" s="782">
        <f>'[10]Div 002'!H65</f>
        <v>10023.68</v>
      </c>
      <c r="J18" s="782">
        <f>VLOOKUP($B18, '[12]Div 2 forecast'!$D$251:$AF329,J$49,FALSE)</f>
        <v>9151.0828101670031</v>
      </c>
      <c r="K18" s="782">
        <f>VLOOKUP($B18, '[12]Div 2 forecast'!$D$251:$AF329,K$49,FALSE)</f>
        <v>15469.342759910836</v>
      </c>
      <c r="L18" s="782">
        <f>VLOOKUP($B18, '[12]Div 2 forecast'!$D$251:$AF329,L$49,FALSE)</f>
        <v>10016.69123909631</v>
      </c>
      <c r="M18" s="782">
        <f>VLOOKUP($B18, '[12]Div 2 forecast'!$D$251:$AF329,M$49,FALSE)</f>
        <v>9675.9005190454009</v>
      </c>
      <c r="N18" s="782">
        <f>VLOOKUP($B18, '[12]Div 2 forecast'!$D$251:$AF329,N$49,FALSE)</f>
        <v>9846.2958790708544</v>
      </c>
      <c r="O18" s="782">
        <f>VLOOKUP($B18, '[12]Div 2 forecast'!$D$251:$AF329,O$49,FALSE)</f>
        <v>9675.9005190454009</v>
      </c>
      <c r="P18" s="204">
        <f t="shared" si="2"/>
        <v>108285.14372633581</v>
      </c>
      <c r="Q18" s="204"/>
    </row>
    <row r="19" spans="1:17">
      <c r="A19" s="104">
        <f t="shared" si="1"/>
        <v>6</v>
      </c>
      <c r="B19" s="400">
        <v>8780</v>
      </c>
      <c r="C19" s="204" t="s">
        <v>938</v>
      </c>
      <c r="D19" s="782">
        <f>'[10]Div 002'!C66</f>
        <v>-1002.23</v>
      </c>
      <c r="E19" s="782">
        <f>'[10]Div 002'!D66</f>
        <v>0</v>
      </c>
      <c r="F19" s="782">
        <f>'[10]Div 002'!E66</f>
        <v>0</v>
      </c>
      <c r="G19" s="782">
        <f>'[10]Div 002'!F66</f>
        <v>0</v>
      </c>
      <c r="H19" s="782">
        <f>'[10]Div 002'!G66</f>
        <v>0</v>
      </c>
      <c r="I19" s="782">
        <f>'[10]Div 002'!H66</f>
        <v>0</v>
      </c>
      <c r="J19" s="782">
        <f>VLOOKUP($B19, '[12]Div 2 forecast'!$D$251:$AF330,J$49,FALSE)</f>
        <v>-183.15515685144194</v>
      </c>
      <c r="K19" s="782">
        <f>VLOOKUP($B19, '[12]Div 2 forecast'!$D$251:$AF330,K$49,FALSE)</f>
        <v>-191.26525189209588</v>
      </c>
      <c r="L19" s="782">
        <f>VLOOKUP($B19, '[12]Div 2 forecast'!$D$251:$AF330,L$49,FALSE)</f>
        <v>-182.5836009721601</v>
      </c>
      <c r="M19" s="782">
        <f>VLOOKUP($B19, '[12]Div 2 forecast'!$D$251:$AF330,M$49,FALSE)</f>
        <v>-199.94690012243532</v>
      </c>
      <c r="N19" s="782">
        <f>VLOOKUP($B19, '[12]Div 2 forecast'!$D$251:$AF330,N$49,FALSE)</f>
        <v>-182.5836009721601</v>
      </c>
      <c r="O19" s="782">
        <f>VLOOKUP($B19, '[12]Div 2 forecast'!$D$251:$AF330,O$49,FALSE)</f>
        <v>-182.5836009721601</v>
      </c>
      <c r="P19" s="204">
        <f t="shared" si="2"/>
        <v>-2124.3481117824535</v>
      </c>
      <c r="Q19" s="204"/>
    </row>
    <row r="20" spans="1:17">
      <c r="A20" s="104">
        <f t="shared" si="1"/>
        <v>7</v>
      </c>
      <c r="B20" s="400">
        <v>8800</v>
      </c>
      <c r="C20" s="204" t="s">
        <v>940</v>
      </c>
      <c r="D20" s="782">
        <f>'[10]Div 002'!C67</f>
        <v>0</v>
      </c>
      <c r="E20" s="782">
        <f>'[10]Div 002'!D67</f>
        <v>10.81</v>
      </c>
      <c r="F20" s="782">
        <f>'[10]Div 002'!E67</f>
        <v>0</v>
      </c>
      <c r="G20" s="782">
        <f>'[10]Div 002'!F67</f>
        <v>517.41999999999996</v>
      </c>
      <c r="H20" s="782">
        <f>'[10]Div 002'!G67</f>
        <v>40.46</v>
      </c>
      <c r="I20" s="782">
        <f>'[10]Div 002'!H67</f>
        <v>0</v>
      </c>
      <c r="J20" s="782">
        <f>VLOOKUP($B20, '[12]Div 2 forecast'!$D$251:$AF331,J$49,FALSE)</f>
        <v>105.17845499409778</v>
      </c>
      <c r="K20" s="782">
        <f>VLOOKUP($B20, '[12]Div 2 forecast'!$D$251:$AF331,K$49,FALSE)</f>
        <v>128.00565495706439</v>
      </c>
      <c r="L20" s="782">
        <f>VLOOKUP($B20, '[12]Div 2 forecast'!$D$251:$AF331,L$49,FALSE)</f>
        <v>126.77645120510485</v>
      </c>
      <c r="M20" s="782">
        <f>VLOOKUP($B20, '[12]Div 2 forecast'!$D$251:$AF331,M$49,FALSE)</f>
        <v>127.27927466961505</v>
      </c>
      <c r="N20" s="782">
        <f>VLOOKUP($B20, '[12]Div 2 forecast'!$D$251:$AF331,N$49,FALSE)</f>
        <v>127.52789267664555</v>
      </c>
      <c r="O20" s="782">
        <f>VLOOKUP($B20, '[12]Div 2 forecast'!$D$251:$AF331,O$49,FALSE)</f>
        <v>127.46308027125565</v>
      </c>
      <c r="P20" s="204">
        <f t="shared" si="2"/>
        <v>1310.9208087737832</v>
      </c>
      <c r="Q20" s="204"/>
    </row>
    <row r="21" spans="1:17">
      <c r="A21" s="104">
        <f t="shared" si="1"/>
        <v>8</v>
      </c>
      <c r="B21" s="400">
        <v>9010</v>
      </c>
      <c r="C21" s="204" t="s">
        <v>186</v>
      </c>
      <c r="D21" s="782">
        <f>'[10]Div 002'!C68</f>
        <v>0</v>
      </c>
      <c r="E21" s="782">
        <f>'[10]Div 002'!D68</f>
        <v>499.76</v>
      </c>
      <c r="F21" s="782">
        <f>'[10]Div 002'!E68</f>
        <v>7088.05</v>
      </c>
      <c r="G21" s="782">
        <f>'[10]Div 002'!F68</f>
        <v>153.49</v>
      </c>
      <c r="H21" s="782">
        <f>'[10]Div 002'!G68</f>
        <v>361.78999999999996</v>
      </c>
      <c r="I21" s="782">
        <f>'[10]Div 002'!H68</f>
        <v>0</v>
      </c>
      <c r="J21" s="782">
        <f>VLOOKUP($B21, '[12]Div 2 forecast'!$D$251:$AF332,J$49,FALSE)</f>
        <v>1612.4489369719408</v>
      </c>
      <c r="K21" s="782">
        <f>VLOOKUP($B21, '[12]Div 2 forecast'!$D$251:$AF332,K$49,FALSE)</f>
        <v>1816.0056321022</v>
      </c>
      <c r="L21" s="782">
        <f>VLOOKUP($B21, '[12]Div 2 forecast'!$D$251:$AF332,L$49,FALSE)</f>
        <v>1798.6389711831266</v>
      </c>
      <c r="M21" s="782">
        <f>VLOOKUP($B21, '[12]Div 2 forecast'!$D$251:$AF332,M$49,FALSE)</f>
        <v>1806.4707035416932</v>
      </c>
      <c r="N21" s="782">
        <f>VLOOKUP($B21, '[12]Div 2 forecast'!$D$251:$AF332,N$49,FALSE)</f>
        <v>1806.890193833412</v>
      </c>
      <c r="O21" s="782">
        <f>VLOOKUP($B21, '[12]Div 2 forecast'!$D$251:$AF332,O$49,FALSE)</f>
        <v>1803.8278839385414</v>
      </c>
      <c r="P21" s="204">
        <f t="shared" si="2"/>
        <v>18747.372321570918</v>
      </c>
      <c r="Q21" s="204"/>
    </row>
    <row r="22" spans="1:17">
      <c r="A22" s="104">
        <f t="shared" si="1"/>
        <v>9</v>
      </c>
      <c r="B22" s="400">
        <v>9030</v>
      </c>
      <c r="C22" s="204" t="s">
        <v>956</v>
      </c>
      <c r="D22" s="782">
        <f>'[10]Div 002'!C69</f>
        <v>3706.32</v>
      </c>
      <c r="E22" s="782">
        <f>'[10]Div 002'!D69</f>
        <v>3706.32</v>
      </c>
      <c r="F22" s="782">
        <f>'[10]Div 002'!E69</f>
        <v>3537.8300000000004</v>
      </c>
      <c r="G22" s="782">
        <f>'[10]Div 002'!F69</f>
        <v>3706.31</v>
      </c>
      <c r="H22" s="782">
        <f>'[10]Div 002'!G69</f>
        <v>3874.81</v>
      </c>
      <c r="I22" s="782">
        <f>'[10]Div 002'!H69</f>
        <v>3537.84</v>
      </c>
      <c r="J22" s="782">
        <f>VLOOKUP($B22, '[12]Div 2 forecast'!$D$251:$AF333,J$49,FALSE)</f>
        <v>4033.1360199474348</v>
      </c>
      <c r="K22" s="782">
        <f>VLOOKUP($B22, '[12]Div 2 forecast'!$D$251:$AF333,K$49,FALSE)</f>
        <v>4211.7229458956299</v>
      </c>
      <c r="L22" s="782">
        <f>VLOOKUP($B22, '[12]Div 2 forecast'!$D$251:$AF333,L$49,FALSE)</f>
        <v>4020.5501739151878</v>
      </c>
      <c r="M22" s="782">
        <f>VLOOKUP($B22, '[12]Div 2 forecast'!$D$251:$AF333,M$49,FALSE)</f>
        <v>4402.8956586502864</v>
      </c>
      <c r="N22" s="782">
        <f>VLOOKUP($B22, '[12]Div 2 forecast'!$D$251:$AF333,N$49,FALSE)</f>
        <v>4020.5501739151878</v>
      </c>
      <c r="O22" s="782">
        <f>VLOOKUP($B22, '[12]Div 2 forecast'!$D$251:$AF333,O$49,FALSE)</f>
        <v>4020.5501739151878</v>
      </c>
      <c r="P22" s="204">
        <f t="shared" si="2"/>
        <v>46778.835146238911</v>
      </c>
      <c r="Q22" s="204"/>
    </row>
    <row r="23" spans="1:17">
      <c r="A23" s="104">
        <f t="shared" si="1"/>
        <v>10</v>
      </c>
      <c r="B23" s="400">
        <v>9100</v>
      </c>
      <c r="C23" s="204" t="s">
        <v>959</v>
      </c>
      <c r="D23" s="782">
        <f>'[10]Div 002'!C70</f>
        <v>446.95</v>
      </c>
      <c r="E23" s="782">
        <f>'[10]Div 002'!D70</f>
        <v>0</v>
      </c>
      <c r="F23" s="782">
        <f>'[10]Div 002'!E70</f>
        <v>0</v>
      </c>
      <c r="G23" s="782">
        <f>'[10]Div 002'!F70</f>
        <v>0</v>
      </c>
      <c r="H23" s="782">
        <f>'[10]Div 002'!G70</f>
        <v>0</v>
      </c>
      <c r="I23" s="782">
        <f>'[10]Div 002'!H70</f>
        <v>0</v>
      </c>
      <c r="J23" s="782">
        <f>VLOOKUP($B23, '[12]Div 2 forecast'!$D$251:$AF334,J$49,FALSE)</f>
        <v>82.164237684428073</v>
      </c>
      <c r="K23" s="782">
        <f>VLOOKUP($B23, '[12]Div 2 forecast'!$D$251:$AF334,K$49,FALSE)</f>
        <v>100.42954386998044</v>
      </c>
      <c r="L23" s="782">
        <f>VLOOKUP($B23, '[12]Div 2 forecast'!$D$251:$AF334,L$49,FALSE)</f>
        <v>99.43368315400258</v>
      </c>
      <c r="M23" s="782">
        <f>VLOOKUP($B23, '[12]Div 2 forecast'!$D$251:$AF334,M$49,FALSE)</f>
        <v>99.796253803023646</v>
      </c>
      <c r="N23" s="782">
        <f>VLOOKUP($B23, '[12]Div 2 forecast'!$D$251:$AF334,N$49,FALSE)</f>
        <v>99.915902117200588</v>
      </c>
      <c r="O23" s="782">
        <f>VLOOKUP($B23, '[12]Div 2 forecast'!$D$251:$AF334,O$49,FALSE)</f>
        <v>99.978747696364238</v>
      </c>
      <c r="P23" s="204">
        <f t="shared" si="2"/>
        <v>1028.6683683249996</v>
      </c>
      <c r="Q23" s="204"/>
    </row>
    <row r="24" spans="1:17">
      <c r="A24" s="104">
        <f t="shared" si="1"/>
        <v>11</v>
      </c>
      <c r="B24" s="400">
        <v>9120</v>
      </c>
      <c r="C24" s="119" t="s">
        <v>961</v>
      </c>
      <c r="D24" s="782">
        <f>'[10]Div 002'!C71</f>
        <v>0</v>
      </c>
      <c r="E24" s="782">
        <f>'[10]Div 002'!D71</f>
        <v>0</v>
      </c>
      <c r="F24" s="782">
        <f>'[10]Div 002'!E71</f>
        <v>399.75</v>
      </c>
      <c r="G24" s="782">
        <f>'[10]Div 002'!F71</f>
        <v>0</v>
      </c>
      <c r="H24" s="782">
        <f>'[10]Div 002'!G71</f>
        <v>275</v>
      </c>
      <c r="I24" s="782">
        <f>'[10]Div 002'!H71</f>
        <v>2244.69</v>
      </c>
      <c r="J24" s="782">
        <f>VLOOKUP($B24, '[12]Div 2 forecast'!$D$251:$AF335,J$49,FALSE)</f>
        <v>871.21280327120689</v>
      </c>
      <c r="K24" s="782">
        <f>VLOOKUP($B24, '[12]Div 2 forecast'!$D$251:$AF335,K$49,FALSE)</f>
        <v>485.23598045316345</v>
      </c>
      <c r="L24" s="782">
        <f>VLOOKUP($B24, '[12]Div 2 forecast'!$D$251:$AF335,L$49,FALSE)</f>
        <v>408.91632937167833</v>
      </c>
      <c r="M24" s="782">
        <f>VLOOKUP($B24, '[12]Div 2 forecast'!$D$251:$AF335,M$49,FALSE)</f>
        <v>372.2828968525655</v>
      </c>
      <c r="N24" s="782">
        <f>VLOOKUP($B24, '[12]Div 2 forecast'!$D$251:$AF335,N$49,FALSE)</f>
        <v>469.53593794497226</v>
      </c>
      <c r="O24" s="782">
        <f>VLOOKUP($B24, '[12]Div 2 forecast'!$D$251:$AF335,O$49,FALSE)</f>
        <v>372.2828968525655</v>
      </c>
      <c r="P24" s="204">
        <f t="shared" si="2"/>
        <v>5898.9068447461514</v>
      </c>
      <c r="Q24" s="204"/>
    </row>
    <row r="25" spans="1:17">
      <c r="A25" s="104">
        <f t="shared" si="1"/>
        <v>12</v>
      </c>
      <c r="B25" s="400">
        <v>9200</v>
      </c>
      <c r="C25" s="204" t="s">
        <v>187</v>
      </c>
      <c r="D25" s="782">
        <f>'[10]Div 002'!C72</f>
        <v>-1579484.34</v>
      </c>
      <c r="E25" s="782">
        <f>'[10]Div 002'!D72</f>
        <v>-1201722.1799999997</v>
      </c>
      <c r="F25" s="782">
        <f>'[10]Div 002'!E72</f>
        <v>-261629.64999999959</v>
      </c>
      <c r="G25" s="782">
        <f>'[10]Div 002'!F72</f>
        <v>-2885600.439999999</v>
      </c>
      <c r="H25" s="782">
        <f>'[10]Div 002'!G72</f>
        <v>-5481318.5500000045</v>
      </c>
      <c r="I25" s="782">
        <f>'[10]Div 002'!H72</f>
        <v>-4808653.820000004</v>
      </c>
      <c r="J25" s="782">
        <f>VLOOKUP($B25, '[12]Div 2 forecast'!$D$251:$AF336,J$49,FALSE)</f>
        <v>-1980907.0907567763</v>
      </c>
      <c r="K25" s="782">
        <f>VLOOKUP($B25, '[12]Div 2 forecast'!$D$251:$AF336,K$49,FALSE)</f>
        <v>-1219679.8223755257</v>
      </c>
      <c r="L25" s="782">
        <f>VLOOKUP($B25, '[12]Div 2 forecast'!$D$251:$AF336,L$49,FALSE)</f>
        <v>-1705914.9405951253</v>
      </c>
      <c r="M25" s="782">
        <f>VLOOKUP($B25, '[12]Div 2 forecast'!$D$251:$AF336,M$49,FALSE)</f>
        <v>-1183538.6646098779</v>
      </c>
      <c r="N25" s="782">
        <f>VLOOKUP($B25, '[12]Div 2 forecast'!$D$251:$AF336,N$49,FALSE)</f>
        <v>-2255233.3904868658</v>
      </c>
      <c r="O25" s="782">
        <f>VLOOKUP($B25, '[12]Div 2 forecast'!$D$251:$AF336,O$49,FALSE)</f>
        <v>-2717546.9778292608</v>
      </c>
      <c r="P25" s="204">
        <f t="shared" si="2"/>
        <v>-27281229.866653435</v>
      </c>
      <c r="Q25" s="204"/>
    </row>
    <row r="26" spans="1:17">
      <c r="A26" s="104">
        <f t="shared" si="1"/>
        <v>13</v>
      </c>
      <c r="B26" s="400">
        <v>9210</v>
      </c>
      <c r="C26" s="204" t="s">
        <v>963</v>
      </c>
      <c r="D26" s="782">
        <f>'[10]Div 002'!C73</f>
        <v>1249144.0200000003</v>
      </c>
      <c r="E26" s="782">
        <f>'[10]Div 002'!D73</f>
        <v>1505038.1899999985</v>
      </c>
      <c r="F26" s="782">
        <f>'[10]Div 002'!E73</f>
        <v>1602763.9199999997</v>
      </c>
      <c r="G26" s="782">
        <f>'[10]Div 002'!F73</f>
        <v>1774936.2400000007</v>
      </c>
      <c r="H26" s="782">
        <f>'[10]Div 002'!G73</f>
        <v>1683390.9000000008</v>
      </c>
      <c r="I26" s="782">
        <f>'[10]Div 002'!H73</f>
        <v>1837310.1600000008</v>
      </c>
      <c r="J26" s="782">
        <f>VLOOKUP($B26, '[12]Div 2 forecast'!$D$251:$AF337,J$49,FALSE)</f>
        <v>2076217.4855367215</v>
      </c>
      <c r="K26" s="782">
        <f>VLOOKUP($B26, '[12]Div 2 forecast'!$D$251:$AF337,K$49,FALSE)</f>
        <v>2380748.2612314536</v>
      </c>
      <c r="L26" s="782">
        <f>VLOOKUP($B26, '[12]Div 2 forecast'!$D$251:$AF337,L$49,FALSE)</f>
        <v>2078660.7962752618</v>
      </c>
      <c r="M26" s="782">
        <f>VLOOKUP($B26, '[12]Div 2 forecast'!$D$251:$AF337,M$49,FALSE)</f>
        <v>2124420.4122857205</v>
      </c>
      <c r="N26" s="782">
        <f>VLOOKUP($B26, '[12]Div 2 forecast'!$D$251:$AF337,N$49,FALSE)</f>
        <v>2078153.2489235678</v>
      </c>
      <c r="O26" s="782">
        <f>VLOOKUP($B26, '[12]Div 2 forecast'!$D$251:$AF337,O$49,FALSE)</f>
        <v>2006137.509979483</v>
      </c>
      <c r="P26" s="204">
        <f t="shared" si="2"/>
        <v>22396921.144232206</v>
      </c>
      <c r="Q26" s="204"/>
    </row>
    <row r="27" spans="1:17">
      <c r="A27" s="104">
        <f t="shared" si="1"/>
        <v>14</v>
      </c>
      <c r="B27" s="400">
        <v>9220</v>
      </c>
      <c r="C27" s="204" t="s">
        <v>964</v>
      </c>
      <c r="D27" s="782">
        <f>'[10]Div 002'!C74</f>
        <v>-7204502.6800000016</v>
      </c>
      <c r="E27" s="782">
        <f>'[10]Div 002'!D74</f>
        <v>-6106733.1499999985</v>
      </c>
      <c r="F27" s="782">
        <f>'[10]Div 002'!E74</f>
        <v>-6844688.9299999932</v>
      </c>
      <c r="G27" s="782">
        <f>'[10]Div 002'!F74</f>
        <v>-6008451.9700000025</v>
      </c>
      <c r="H27" s="782">
        <f>'[10]Div 002'!G74</f>
        <v>-14931070.290000014</v>
      </c>
      <c r="I27" s="782">
        <f>'[10]Div 002'!H74</f>
        <v>2200870.8299999852</v>
      </c>
      <c r="J27" s="1155">
        <f t="shared" ref="J27:O27" si="3">-(SUM(J14:J26,J28:J35))</f>
        <v>-6723910.1800000025</v>
      </c>
      <c r="K27" s="1155">
        <f t="shared" si="3"/>
        <v>-7827801.5286666676</v>
      </c>
      <c r="L27" s="1155">
        <f t="shared" si="3"/>
        <v>-7366139.9686666699</v>
      </c>
      <c r="M27" s="1155">
        <f t="shared" si="3"/>
        <v>-8272202.0286666695</v>
      </c>
      <c r="N27" s="1155">
        <f t="shared" si="3"/>
        <v>-7032001.2453333354</v>
      </c>
      <c r="O27" s="1155">
        <f t="shared" si="3"/>
        <v>-6295030.2953333361</v>
      </c>
      <c r="P27" s="204">
        <f t="shared" si="2"/>
        <v>-82411661.436666712</v>
      </c>
      <c r="Q27" s="771"/>
    </row>
    <row r="28" spans="1:17">
      <c r="A28" s="104">
        <f t="shared" si="1"/>
        <v>15</v>
      </c>
      <c r="B28" s="400">
        <v>9230</v>
      </c>
      <c r="C28" s="204" t="s">
        <v>965</v>
      </c>
      <c r="D28" s="782">
        <f>'[10]Div 002'!C75</f>
        <v>554634.34</v>
      </c>
      <c r="E28" s="782">
        <f>'[10]Div 002'!D75</f>
        <v>481432.66999999993</v>
      </c>
      <c r="F28" s="782">
        <f>'[10]Div 002'!E75</f>
        <v>555984.48</v>
      </c>
      <c r="G28" s="782">
        <f>'[10]Div 002'!F75</f>
        <v>917907.62</v>
      </c>
      <c r="H28" s="782">
        <f>'[10]Div 002'!G75</f>
        <v>627190.75</v>
      </c>
      <c r="I28" s="782">
        <f>'[10]Div 002'!H75</f>
        <v>682005.23</v>
      </c>
      <c r="J28" s="782">
        <f>VLOOKUP($B28, '[12]Div 2 forecast'!$D$251:$AF339,J$49,FALSE)</f>
        <v>654546.32514122978</v>
      </c>
      <c r="K28" s="782">
        <f>VLOOKUP($B28, '[12]Div 2 forecast'!$D$251:$AF339,K$49,FALSE)</f>
        <v>715272.8963810174</v>
      </c>
      <c r="L28" s="782">
        <f>VLOOKUP($B28, '[12]Div 2 forecast'!$D$251:$AF339,L$49,FALSE)</f>
        <v>720222.0182598806</v>
      </c>
      <c r="M28" s="782">
        <f>VLOOKUP($B28, '[12]Div 2 forecast'!$D$251:$AF339,M$49,FALSE)</f>
        <v>718597.5701347359</v>
      </c>
      <c r="N28" s="782">
        <f>VLOOKUP($B28, '[12]Div 2 forecast'!$D$251:$AF339,N$49,FALSE)</f>
        <v>751307.12012409198</v>
      </c>
      <c r="O28" s="782">
        <f>VLOOKUP($B28, '[12]Div 2 forecast'!$D$251:$AF339,O$49,FALSE)</f>
        <v>725693.5811876629</v>
      </c>
      <c r="P28" s="204">
        <f t="shared" si="2"/>
        <v>8104794.601228619</v>
      </c>
      <c r="Q28" s="204"/>
    </row>
    <row r="29" spans="1:17">
      <c r="A29" s="104">
        <f t="shared" si="1"/>
        <v>16</v>
      </c>
      <c r="B29" s="400">
        <v>9240</v>
      </c>
      <c r="C29" s="204" t="s">
        <v>966</v>
      </c>
      <c r="D29" s="782">
        <f>'[10]Div 002'!C76</f>
        <v>13536.98</v>
      </c>
      <c r="E29" s="782">
        <f>'[10]Div 002'!D76</f>
        <v>13536.98</v>
      </c>
      <c r="F29" s="782">
        <f>'[10]Div 002'!E76</f>
        <v>13536.98</v>
      </c>
      <c r="G29" s="782">
        <f>'[10]Div 002'!F76</f>
        <v>13536.98</v>
      </c>
      <c r="H29" s="782">
        <f>'[10]Div 002'!G76</f>
        <v>13615.279999999999</v>
      </c>
      <c r="I29" s="782">
        <f>'[10]Div 002'!H76</f>
        <v>13543.439999999999</v>
      </c>
      <c r="J29" s="782">
        <f>VLOOKUP($B29, '[12]Div 2 forecast'!$D$251:$AF340,J$49,FALSE)</f>
        <v>13835.200289422799</v>
      </c>
      <c r="K29" s="782">
        <f>VLOOKUP($B29, '[12]Div 2 forecast'!$D$251:$AF340,K$49,FALSE)</f>
        <v>14784.389220745794</v>
      </c>
      <c r="L29" s="782">
        <f>VLOOKUP($B29, '[12]Div 2 forecast'!$D$251:$AF340,L$49,FALSE)</f>
        <v>14983.287925004443</v>
      </c>
      <c r="M29" s="782">
        <f>VLOOKUP($B29, '[12]Div 2 forecast'!$D$251:$AF340,M$49,FALSE)</f>
        <v>14983.35668322843</v>
      </c>
      <c r="N29" s="782">
        <f>VLOOKUP($B29, '[12]Div 2 forecast'!$D$251:$AF340,N$49,FALSE)</f>
        <v>14983.379373442345</v>
      </c>
      <c r="O29" s="782">
        <f>VLOOKUP($B29, '[12]Div 2 forecast'!$D$251:$AF340,O$49,FALSE)</f>
        <v>14983.391291534504</v>
      </c>
      <c r="P29" s="204">
        <f t="shared" si="2"/>
        <v>169859.64478337832</v>
      </c>
      <c r="Q29" s="204"/>
    </row>
    <row r="30" spans="1:17">
      <c r="A30" s="104">
        <f t="shared" si="1"/>
        <v>17</v>
      </c>
      <c r="B30" s="400">
        <v>9250</v>
      </c>
      <c r="C30" s="204" t="s">
        <v>967</v>
      </c>
      <c r="D30" s="782">
        <f>'[10]Div 002'!C77</f>
        <v>1556099.58</v>
      </c>
      <c r="E30" s="782">
        <f>'[10]Div 002'!D77</f>
        <v>514911.73999999976</v>
      </c>
      <c r="F30" s="782">
        <f>'[10]Div 002'!E77</f>
        <v>557022.37999999989</v>
      </c>
      <c r="G30" s="782">
        <f>'[10]Div 002'!F77</f>
        <v>1557218.5799999998</v>
      </c>
      <c r="H30" s="782">
        <f>'[10]Div 002'!G77</f>
        <v>1560234.16</v>
      </c>
      <c r="I30" s="782">
        <f>'[10]Div 002'!H77</f>
        <v>1644852.8399999999</v>
      </c>
      <c r="J30" s="782">
        <f>VLOOKUP($B30, '[12]Div 2 forecast'!$D$251:$AF341,J$49,FALSE)</f>
        <v>1598700.0504240855</v>
      </c>
      <c r="K30" s="782">
        <f>VLOOKUP($B30, '[12]Div 2 forecast'!$D$251:$AF341,K$49,FALSE)</f>
        <v>1705929.2714354382</v>
      </c>
      <c r="L30" s="782">
        <f>VLOOKUP($B30, '[12]Div 2 forecast'!$D$251:$AF341,L$49,FALSE)</f>
        <v>1726834.3294408235</v>
      </c>
      <c r="M30" s="782">
        <f>VLOOKUP($B30, '[12]Div 2 forecast'!$D$251:$AF341,M$49,FALSE)</f>
        <v>1730047.6870852425</v>
      </c>
      <c r="N30" s="782">
        <f>VLOOKUP($B30, '[12]Div 2 forecast'!$D$251:$AF341,N$49,FALSE)</f>
        <v>1726834.3294408235</v>
      </c>
      <c r="O30" s="782">
        <f>VLOOKUP($B30, '[12]Div 2 forecast'!$D$251:$AF341,O$49,FALSE)</f>
        <v>1726834.3294408235</v>
      </c>
      <c r="P30" s="204">
        <f t="shared" si="2"/>
        <v>17605519.277267236</v>
      </c>
      <c r="Q30" s="204"/>
    </row>
    <row r="31" spans="1:17">
      <c r="A31" s="104">
        <f t="shared" si="1"/>
        <v>18</v>
      </c>
      <c r="B31" s="400">
        <v>9260</v>
      </c>
      <c r="C31" s="204" t="s">
        <v>968</v>
      </c>
      <c r="D31" s="782">
        <f>'[10]Div 002'!C78</f>
        <v>3191076.5699999961</v>
      </c>
      <c r="E31" s="782">
        <f>'[10]Div 002'!D78</f>
        <v>3057681.0599999968</v>
      </c>
      <c r="F31" s="782">
        <f>'[10]Div 002'!E78</f>
        <v>2761670.4400000027</v>
      </c>
      <c r="G31" s="782">
        <f>'[10]Div 002'!F78</f>
        <v>8736017.2399999946</v>
      </c>
      <c r="H31" s="782">
        <f>'[10]Div 002'!G78</f>
        <v>6882904.7500000112</v>
      </c>
      <c r="I31" s="782">
        <f>'[10]Div 002'!H78</f>
        <v>1762802.3200000015</v>
      </c>
      <c r="J31" s="782">
        <f>VLOOKUP($B31, '[12]Div 2 forecast'!$D$251:$AF342,J$49,FALSE)</f>
        <v>3496495.7220191662</v>
      </c>
      <c r="K31" s="782">
        <f>VLOOKUP($B31, '[12]Div 2 forecast'!$D$251:$AF342,K$49,FALSE)</f>
        <v>3363742.329356838</v>
      </c>
      <c r="L31" s="782">
        <f>VLOOKUP($B31, '[12]Div 2 forecast'!$D$251:$AF342,L$49,FALSE)</f>
        <v>3701920.891754196</v>
      </c>
      <c r="M31" s="782">
        <f>VLOOKUP($B31, '[12]Div 2 forecast'!$D$251:$AF342,M$49,FALSE)</f>
        <v>3791338.8342712107</v>
      </c>
      <c r="N31" s="782">
        <f>VLOOKUP($B31, '[12]Div 2 forecast'!$D$251:$AF342,N$49,FALSE)</f>
        <v>3812051.0229517124</v>
      </c>
      <c r="O31" s="782">
        <f>VLOOKUP($B31, '[12]Div 2 forecast'!$D$251:$AF342,O$49,FALSE)</f>
        <v>3643470.3610119428</v>
      </c>
      <c r="P31" s="204">
        <f t="shared" si="2"/>
        <v>48201171.541365072</v>
      </c>
      <c r="Q31" s="204"/>
    </row>
    <row r="32" spans="1:17">
      <c r="A32" s="104">
        <f t="shared" si="1"/>
        <v>19</v>
      </c>
      <c r="B32" s="400">
        <v>9301</v>
      </c>
      <c r="C32" s="204" t="s">
        <v>188</v>
      </c>
      <c r="D32" s="782">
        <f>'[10]Div 002'!C79</f>
        <v>0</v>
      </c>
      <c r="E32" s="782">
        <f>'[10]Div 002'!D79</f>
        <v>0</v>
      </c>
      <c r="F32" s="782">
        <f>'[10]Div 002'!E79</f>
        <v>0</v>
      </c>
      <c r="G32" s="782">
        <f>'[10]Div 002'!F79</f>
        <v>49000</v>
      </c>
      <c r="H32" s="782">
        <f>'[10]Div 002'!G79</f>
        <v>0</v>
      </c>
      <c r="I32" s="782">
        <f>'[10]Div 002'!H79</f>
        <v>0</v>
      </c>
      <c r="J32" s="782">
        <f>VLOOKUP($B32, '[12]Div 2 forecast'!$D$251:$AF343,J$49,FALSE)</f>
        <v>5428.9684342813534</v>
      </c>
      <c r="K32" s="782">
        <f>VLOOKUP($B32, '[12]Div 2 forecast'!$D$251:$AF343,K$49,FALSE)</f>
        <v>4444.7359990364439</v>
      </c>
      <c r="L32" s="782">
        <f>VLOOKUP($B32, '[12]Div 2 forecast'!$D$251:$AF343,L$49,FALSE)</f>
        <v>4209.3259088353061</v>
      </c>
      <c r="M32" s="782">
        <f>VLOOKUP($B32, '[12]Div 2 forecast'!$D$251:$AF343,M$49,FALSE)</f>
        <v>9286.3265618306923</v>
      </c>
      <c r="N32" s="782">
        <f>VLOOKUP($B32, '[12]Div 2 forecast'!$D$251:$AF343,N$49,FALSE)</f>
        <v>6155.1780185119169</v>
      </c>
      <c r="O32" s="782">
        <f>VLOOKUP($B32, '[12]Div 2 forecast'!$D$251:$AF343,O$49,FALSE)</f>
        <v>6081.6180412482327</v>
      </c>
      <c r="P32" s="204">
        <f t="shared" si="2"/>
        <v>84606.152963743953</v>
      </c>
      <c r="Q32" s="204"/>
    </row>
    <row r="33" spans="1:18">
      <c r="A33" s="104">
        <f t="shared" si="1"/>
        <v>20</v>
      </c>
      <c r="B33" s="400">
        <v>9302</v>
      </c>
      <c r="C33" s="204" t="s">
        <v>875</v>
      </c>
      <c r="D33" s="782">
        <f>'[10]Div 002'!C80</f>
        <v>1754684.69</v>
      </c>
      <c r="E33" s="782">
        <f>'[10]Div 002'!D80</f>
        <v>264937.00999999995</v>
      </c>
      <c r="F33" s="782">
        <f>'[10]Div 002'!E80</f>
        <v>76913.89</v>
      </c>
      <c r="G33" s="782">
        <f>'[10]Div 002'!F80</f>
        <v>317125.99000000005</v>
      </c>
      <c r="H33" s="782">
        <f>'[10]Div 002'!G80</f>
        <v>363534.39000000007</v>
      </c>
      <c r="I33" s="782">
        <f>'[10]Div 002'!H80</f>
        <v>82445.079999999987</v>
      </c>
      <c r="J33" s="782">
        <f>VLOOKUP($B33, '[12]Div 2 forecast'!$D$251:$AF344,J$49,FALSE)</f>
        <v>332147.74997282546</v>
      </c>
      <c r="K33" s="782">
        <f>VLOOKUP($B33, '[12]Div 2 forecast'!$D$251:$AF344,K$49,FALSE)</f>
        <v>291416.11199540284</v>
      </c>
      <c r="L33" s="782">
        <f>VLOOKUP($B33, '[12]Div 2 forecast'!$D$251:$AF344,L$49,FALSE)</f>
        <v>268744.94624794909</v>
      </c>
      <c r="M33" s="782">
        <f>VLOOKUP($B33, '[12]Div 2 forecast'!$D$251:$AF344,M$49,FALSE)</f>
        <v>540582.17082217766</v>
      </c>
      <c r="N33" s="782">
        <f>VLOOKUP($B33, '[12]Div 2 forecast'!$D$251:$AF344,N$49,FALSE)</f>
        <v>373503.55196243984</v>
      </c>
      <c r="O33" s="782">
        <f>VLOOKUP($B33, '[12]Div 2 forecast'!$D$251:$AF344,O$49,FALSE)</f>
        <v>366998.30544584792</v>
      </c>
      <c r="P33" s="204">
        <f t="shared" si="2"/>
        <v>5033033.8864466436</v>
      </c>
      <c r="Q33" s="204"/>
    </row>
    <row r="34" spans="1:18">
      <c r="A34" s="104">
        <f t="shared" si="1"/>
        <v>21</v>
      </c>
      <c r="B34" s="400">
        <v>9310</v>
      </c>
      <c r="C34" s="204" t="s">
        <v>189</v>
      </c>
      <c r="D34" s="782">
        <f>'[10]Div 002'!C81</f>
        <v>425099.12000000005</v>
      </c>
      <c r="E34" s="782">
        <f>'[10]Div 002'!D81</f>
        <v>415146.39000000013</v>
      </c>
      <c r="F34" s="782">
        <f>'[10]Div 002'!E81</f>
        <v>438152.84000000014</v>
      </c>
      <c r="G34" s="782">
        <f>'[10]Div 002'!F81</f>
        <v>410794.48</v>
      </c>
      <c r="H34" s="782">
        <f>'[10]Div 002'!G81</f>
        <v>431262.11000000004</v>
      </c>
      <c r="I34" s="782">
        <f>'[10]Div 002'!H81</f>
        <v>404455.09000000008</v>
      </c>
      <c r="J34" s="782">
        <f>VLOOKUP($B34, '[12]Div 2 forecast'!$D$251:$AF345,J$49,FALSE)</f>
        <v>443653.50976625265</v>
      </c>
      <c r="K34" s="782">
        <f>VLOOKUP($B34, '[12]Div 2 forecast'!$D$251:$AF345,K$49,FALSE)</f>
        <v>472809.36389307916</v>
      </c>
      <c r="L34" s="782">
        <f>VLOOKUP($B34, '[12]Div 2 forecast'!$D$251:$AF345,L$49,FALSE)</f>
        <v>472415.08858076163</v>
      </c>
      <c r="M34" s="782">
        <f>VLOOKUP($B34, '[12]Div 2 forecast'!$D$251:$AF345,M$49,FALSE)</f>
        <v>440956.26265308785</v>
      </c>
      <c r="N34" s="782">
        <f>VLOOKUP($B34, '[12]Div 2 forecast'!$D$251:$AF345,N$49,FALSE)</f>
        <v>441146.69953790621</v>
      </c>
      <c r="O34" s="782">
        <f>VLOOKUP($B34, '[12]Div 2 forecast'!$D$251:$AF345,O$49,FALSE)</f>
        <v>440844.82376788132</v>
      </c>
      <c r="P34" s="204">
        <f t="shared" si="2"/>
        <v>5236735.7781989686</v>
      </c>
      <c r="Q34" s="204"/>
    </row>
    <row r="35" spans="1:18">
      <c r="A35" s="104">
        <f t="shared" si="1"/>
        <v>22</v>
      </c>
      <c r="B35" s="400">
        <v>9320</v>
      </c>
      <c r="C35" s="204" t="s">
        <v>190</v>
      </c>
      <c r="D35" s="782">
        <f>'[10]Div 002'!C82</f>
        <v>53285.08</v>
      </c>
      <c r="E35" s="782">
        <f>'[10]Div 002'!D82</f>
        <v>43331.92</v>
      </c>
      <c r="F35" s="782">
        <f>'[10]Div 002'!E82</f>
        <v>79999.809999999983</v>
      </c>
      <c r="G35" s="782">
        <f>'[10]Div 002'!F82</f>
        <v>52072.6</v>
      </c>
      <c r="H35" s="782">
        <f>'[10]Div 002'!G82</f>
        <v>16688.240000000002</v>
      </c>
      <c r="I35" s="782">
        <f>'[10]Div 002'!H82</f>
        <v>31285.159999999996</v>
      </c>
      <c r="J35" s="782">
        <f>VLOOKUP($B35, '[12]Div 2 forecast'!$D$251:$AF346,J$49,FALSE)</f>
        <v>58823.604207868397</v>
      </c>
      <c r="K35" s="782">
        <f>VLOOKUP($B35, '[12]Div 2 forecast'!$D$251:$AF346,K$49,FALSE)</f>
        <v>69424.51724428068</v>
      </c>
      <c r="L35" s="782">
        <f>VLOOKUP($B35, '[12]Div 2 forecast'!$D$251:$AF346,L$49,FALSE)</f>
        <v>60937.243038643341</v>
      </c>
      <c r="M35" s="782">
        <f>VLOOKUP($B35, '[12]Div 2 forecast'!$D$251:$AF346,M$49,FALSE)</f>
        <v>62350.707278524991</v>
      </c>
      <c r="N35" s="782">
        <f>VLOOKUP($B35, '[12]Div 2 forecast'!$D$251:$AF346,N$49,FALSE)</f>
        <v>60059.680370641057</v>
      </c>
      <c r="O35" s="782">
        <f>VLOOKUP($B35, '[12]Div 2 forecast'!$D$251:$AF346,O$49,FALSE)</f>
        <v>58880.365097055837</v>
      </c>
      <c r="P35" s="204">
        <f t="shared" si="2"/>
        <v>647138.92723701429</v>
      </c>
      <c r="Q35" s="204"/>
    </row>
    <row r="36" spans="1:18" ht="15.75" thickBot="1">
      <c r="A36" s="104">
        <f t="shared" si="1"/>
        <v>23</v>
      </c>
      <c r="B36" s="290" t="s">
        <v>751</v>
      </c>
      <c r="C36" s="242"/>
      <c r="D36" s="292">
        <f t="shared" ref="D36:O36" si="4">SUM(D14:D35)</f>
        <v>42373.679999994914</v>
      </c>
      <c r="E36" s="292">
        <f t="shared" si="4"/>
        <v>-999658.93000000168</v>
      </c>
      <c r="F36" s="292">
        <f t="shared" si="4"/>
        <v>-999422.61999999045</v>
      </c>
      <c r="G36" s="292">
        <f t="shared" si="4"/>
        <v>4950557.1599999946</v>
      </c>
      <c r="H36" s="292">
        <f t="shared" si="4"/>
        <v>-8820344.7800000068</v>
      </c>
      <c r="I36" s="292">
        <f t="shared" si="4"/>
        <v>3867442.6299999831</v>
      </c>
      <c r="J36" s="292">
        <f t="shared" si="4"/>
        <v>-1.57160684466362E-9</v>
      </c>
      <c r="K36" s="292">
        <f t="shared" si="4"/>
        <v>1.8189894035458565E-9</v>
      </c>
      <c r="L36" s="292">
        <f t="shared" si="4"/>
        <v>-2.1827872842550278E-10</v>
      </c>
      <c r="M36" s="292">
        <f t="shared" si="4"/>
        <v>-9.3132257461547852E-10</v>
      </c>
      <c r="N36" s="292">
        <f t="shared" si="4"/>
        <v>6.4028427004814148E-10</v>
      </c>
      <c r="O36" s="292">
        <f t="shared" si="4"/>
        <v>1.0186340659856796E-10</v>
      </c>
      <c r="P36" s="292">
        <f>SUM(P12:P35)</f>
        <v>2848369.1299999766</v>
      </c>
      <c r="Q36" s="290"/>
    </row>
    <row r="37" spans="1:18" ht="15.75" thickTop="1">
      <c r="A37" s="104">
        <f t="shared" si="1"/>
        <v>24</v>
      </c>
      <c r="B37" s="294"/>
      <c r="C37" s="294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4"/>
      <c r="P37" s="290"/>
      <c r="Q37" s="290"/>
    </row>
    <row r="38" spans="1:18">
      <c r="A38" s="104">
        <f t="shared" si="1"/>
        <v>25</v>
      </c>
      <c r="B38" s="479">
        <f>B27</f>
        <v>9220</v>
      </c>
      <c r="C38" s="479" t="str">
        <f>C27</f>
        <v>A&amp;G-Administrative expense transferred-Credit</v>
      </c>
      <c r="D38" s="480">
        <f>D27</f>
        <v>-7204502.6800000016</v>
      </c>
      <c r="E38" s="480">
        <f t="shared" ref="E38:I38" si="5">E27</f>
        <v>-6106733.1499999985</v>
      </c>
      <c r="F38" s="480">
        <f t="shared" si="5"/>
        <v>-6844688.9299999932</v>
      </c>
      <c r="G38" s="480">
        <f t="shared" si="5"/>
        <v>-6008451.9700000025</v>
      </c>
      <c r="H38" s="480">
        <f t="shared" si="5"/>
        <v>-14931070.290000014</v>
      </c>
      <c r="I38" s="480">
        <f t="shared" si="5"/>
        <v>2200870.8299999852</v>
      </c>
      <c r="J38" s="480">
        <f t="shared" ref="J38:K38" si="6">-(J36-J27)</f>
        <v>-6723910.1800000006</v>
      </c>
      <c r="K38" s="480">
        <f t="shared" si="6"/>
        <v>-7827801.5286666695</v>
      </c>
      <c r="L38" s="480">
        <f>L27</f>
        <v>-7366139.9686666699</v>
      </c>
      <c r="M38" s="480">
        <f>M27</f>
        <v>-8272202.0286666695</v>
      </c>
      <c r="N38" s="480">
        <f>N27</f>
        <v>-7032001.2453333354</v>
      </c>
      <c r="O38" s="480">
        <f>O27</f>
        <v>-6295030.2953333361</v>
      </c>
      <c r="P38" s="204">
        <f t="shared" ref="P38" si="7">SUM(D38:O38)</f>
        <v>-82411661.436666712</v>
      </c>
      <c r="Q38" s="290"/>
    </row>
    <row r="39" spans="1:18">
      <c r="A39" s="104">
        <f t="shared" si="1"/>
        <v>26</v>
      </c>
      <c r="B39" s="294"/>
      <c r="C39" s="481" t="s">
        <v>200</v>
      </c>
      <c r="D39" s="502">
        <f>D40/D38</f>
        <v>5.4236575008116995E-2</v>
      </c>
      <c r="E39" s="502">
        <f t="shared" ref="E39:I39" si="8">E40/E38</f>
        <v>5.4800545853227613E-2</v>
      </c>
      <c r="F39" s="502">
        <f t="shared" si="8"/>
        <v>5.4733425263198979E-2</v>
      </c>
      <c r="G39" s="502">
        <f t="shared" si="8"/>
        <v>5.4849201033057411E-2</v>
      </c>
      <c r="H39" s="502">
        <f t="shared" si="8"/>
        <v>5.3945858826976244E-2</v>
      </c>
      <c r="I39" s="502">
        <f t="shared" si="8"/>
        <v>4.9965758326671418E-2</v>
      </c>
      <c r="J39" s="502">
        <f>Allocation!$I$14</f>
        <v>5.2575879716356848E-2</v>
      </c>
      <c r="K39" s="502">
        <f>Allocation!$I$14</f>
        <v>5.2575879716356848E-2</v>
      </c>
      <c r="L39" s="502">
        <f>Allocation!$I$14</f>
        <v>5.2575879716356848E-2</v>
      </c>
      <c r="M39" s="502">
        <f>Allocation!$I$14</f>
        <v>5.2575879716356848E-2</v>
      </c>
      <c r="N39" s="502">
        <f>Allocation!$I$14</f>
        <v>5.2575879716356848E-2</v>
      </c>
      <c r="O39" s="502">
        <f>Allocation!$I$14</f>
        <v>5.2575879716356848E-2</v>
      </c>
      <c r="P39" s="502">
        <f t="shared" ref="P39" si="9">P40/P38</f>
        <v>5.3548758908672334E-2</v>
      </c>
      <c r="Q39" s="290"/>
      <c r="R39" s="1060"/>
    </row>
    <row r="40" spans="1:18">
      <c r="A40" s="104">
        <f t="shared" si="1"/>
        <v>27</v>
      </c>
      <c r="B40" s="294"/>
      <c r="C40" s="294" t="s">
        <v>215</v>
      </c>
      <c r="D40" s="294">
        <f>-'[14]div 9 monthly 9220'!D$12</f>
        <v>-390747.55</v>
      </c>
      <c r="E40" s="294">
        <f>-'[14]div 9 monthly 9220'!E$12</f>
        <v>-334652.31</v>
      </c>
      <c r="F40" s="294">
        <f>-'[14]div 9 monthly 9220'!F$12</f>
        <v>-374633.27</v>
      </c>
      <c r="G40" s="294">
        <f>-'[14]div 9 monthly 9220'!G$12</f>
        <v>-329558.78999999998</v>
      </c>
      <c r="H40" s="294">
        <f>-'[14]div 9 monthly 9220'!H$12</f>
        <v>-805469.41</v>
      </c>
      <c r="I40" s="294">
        <f>-'[14]div 9 monthly 9220'!I$12</f>
        <v>109968.18</v>
      </c>
      <c r="J40" s="294">
        <f t="shared" ref="J40:O40" si="10">J38*J39</f>
        <v>-353515.49284726736</v>
      </c>
      <c r="K40" s="294">
        <f t="shared" si="10"/>
        <v>-411553.55161469307</v>
      </c>
      <c r="L40" s="294">
        <f t="shared" si="10"/>
        <v>-387281.28896646743</v>
      </c>
      <c r="M40" s="294">
        <f t="shared" si="10"/>
        <v>-434918.29884858191</v>
      </c>
      <c r="N40" s="294">
        <f t="shared" si="10"/>
        <v>-369713.65163991699</v>
      </c>
      <c r="O40" s="294">
        <f t="shared" si="10"/>
        <v>-330966.75561826781</v>
      </c>
      <c r="P40" s="287">
        <f>SUM(D40:O40)</f>
        <v>-4413042.189535195</v>
      </c>
      <c r="Q40" s="290"/>
      <c r="R40" s="1060"/>
    </row>
    <row r="41" spans="1:18">
      <c r="A41" s="290"/>
      <c r="B41" s="290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7"/>
      <c r="P41" s="297"/>
      <c r="Q41" s="290"/>
    </row>
    <row r="42" spans="1:18">
      <c r="A42" s="290"/>
      <c r="B42" s="290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7"/>
      <c r="P42" s="297"/>
      <c r="Q42" s="290"/>
    </row>
    <row r="43" spans="1:18">
      <c r="A43" s="290"/>
      <c r="B43" s="290" t="s">
        <v>578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7"/>
      <c r="P43" s="297"/>
      <c r="Q43" s="290"/>
    </row>
    <row r="44" spans="1:18">
      <c r="A44" s="290"/>
      <c r="B44" s="290"/>
      <c r="C44" s="290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890"/>
      <c r="Q44" s="290"/>
    </row>
    <row r="45" spans="1:18">
      <c r="A45" s="290"/>
      <c r="B45" s="290"/>
      <c r="C45" s="290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7"/>
      <c r="Q45" s="290"/>
    </row>
    <row r="46" spans="1:18">
      <c r="A46" s="290"/>
      <c r="B46" s="290" t="s">
        <v>972</v>
      </c>
      <c r="C46" s="290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7"/>
      <c r="Q46" s="290"/>
    </row>
    <row r="47" spans="1:18">
      <c r="A47" s="290"/>
      <c r="B47" s="290" t="s">
        <v>1595</v>
      </c>
      <c r="C47" s="290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7"/>
      <c r="Q47" s="960"/>
    </row>
    <row r="48" spans="1:18">
      <c r="A48" s="290"/>
      <c r="B48" s="1" t="s">
        <v>1594</v>
      </c>
      <c r="C48" s="290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837"/>
      <c r="P48" s="297"/>
      <c r="Q48" s="377"/>
    </row>
    <row r="49" spans="1:17">
      <c r="A49" s="290"/>
      <c r="B49" s="290"/>
      <c r="C49" s="619" t="s">
        <v>1385</v>
      </c>
      <c r="D49" s="1125">
        <v>3</v>
      </c>
      <c r="E49" s="1014">
        <v>4</v>
      </c>
      <c r="F49" s="1014">
        <v>5</v>
      </c>
      <c r="G49" s="1125">
        <v>6</v>
      </c>
      <c r="H49" s="1125">
        <v>7</v>
      </c>
      <c r="I49" s="1125">
        <v>8</v>
      </c>
      <c r="J49" s="1014">
        <v>9</v>
      </c>
      <c r="K49" s="1014">
        <v>10</v>
      </c>
      <c r="L49" s="1125">
        <v>11</v>
      </c>
      <c r="M49" s="1125">
        <v>12</v>
      </c>
      <c r="N49" s="1125">
        <v>13</v>
      </c>
      <c r="O49" s="1125">
        <v>14</v>
      </c>
      <c r="P49" s="297"/>
      <c r="Q49" s="377"/>
    </row>
    <row r="50" spans="1:17">
      <c r="A50" s="290"/>
      <c r="B50" s="290"/>
      <c r="C50" s="290"/>
      <c r="D50" s="1126"/>
      <c r="E50" s="1126"/>
      <c r="F50" s="1126"/>
      <c r="G50" s="1126"/>
      <c r="H50" s="1126"/>
      <c r="I50" s="1126"/>
      <c r="J50" s="1126"/>
      <c r="K50" s="1127"/>
      <c r="L50" s="1127"/>
      <c r="M50" s="1127"/>
      <c r="N50" s="1127"/>
      <c r="O50" s="233"/>
      <c r="P50" s="297"/>
      <c r="Q50" s="377"/>
    </row>
    <row r="51" spans="1:17">
      <c r="A51" s="290"/>
      <c r="B51" s="771"/>
      <c r="C51" s="771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7"/>
      <c r="P51" s="297"/>
      <c r="Q51" s="377"/>
    </row>
    <row r="52" spans="1:17">
      <c r="A52" s="290"/>
      <c r="B52" s="290"/>
      <c r="C52" s="290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377"/>
    </row>
    <row r="53" spans="1:17">
      <c r="A53" s="290"/>
      <c r="B53" s="290"/>
      <c r="C53" s="290"/>
      <c r="D53" s="294"/>
      <c r="E53" s="294"/>
      <c r="F53" s="294"/>
      <c r="G53" s="294"/>
      <c r="H53" s="294"/>
      <c r="I53" s="294"/>
      <c r="J53" s="294"/>
      <c r="K53" s="106"/>
      <c r="L53" s="294"/>
      <c r="M53" s="294"/>
      <c r="N53" s="294"/>
      <c r="O53" s="294"/>
      <c r="P53" s="294"/>
      <c r="Q53" s="290"/>
    </row>
    <row r="54" spans="1:17">
      <c r="A54" s="290"/>
      <c r="B54" s="290"/>
      <c r="C54" s="290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0"/>
    </row>
    <row r="55" spans="1:17">
      <c r="A55" s="290"/>
      <c r="B55" s="290"/>
      <c r="C55" s="771"/>
      <c r="D55" s="294"/>
      <c r="E55" s="294"/>
      <c r="F55" s="294"/>
      <c r="G55" s="294"/>
      <c r="H55" s="294"/>
      <c r="I55" s="294"/>
      <c r="J55" s="294"/>
      <c r="K55" s="294"/>
      <c r="L55" s="294"/>
      <c r="M55" s="918"/>
      <c r="N55" s="294"/>
      <c r="O55" s="294"/>
      <c r="P55" s="294"/>
      <c r="Q55" s="290"/>
    </row>
    <row r="56" spans="1:17">
      <c r="A56" s="290"/>
      <c r="B56" s="290"/>
      <c r="C56" s="771"/>
      <c r="D56" s="294"/>
      <c r="E56" s="294"/>
      <c r="F56" s="294"/>
      <c r="G56" s="294"/>
      <c r="H56" s="294"/>
      <c r="I56" s="294"/>
      <c r="J56" s="294"/>
      <c r="K56" s="294"/>
      <c r="L56" s="290"/>
      <c r="M56" s="290"/>
      <c r="N56" s="290"/>
      <c r="O56" s="294"/>
      <c r="P56" s="290"/>
      <c r="Q56" s="290"/>
    </row>
    <row r="57" spans="1:17">
      <c r="O57" s="619"/>
      <c r="P57" s="106"/>
    </row>
    <row r="58" spans="1:17">
      <c r="O58" s="233"/>
    </row>
    <row r="59" spans="1:17">
      <c r="O59" s="233"/>
      <c r="P59" s="106"/>
    </row>
    <row r="60" spans="1:17">
      <c r="E60" s="1058"/>
      <c r="F60" s="1058"/>
      <c r="G60" s="1058"/>
      <c r="H60" s="1058"/>
      <c r="I60" s="1058"/>
      <c r="J60" s="1058"/>
      <c r="K60" s="1058"/>
    </row>
    <row r="61" spans="1:17">
      <c r="C61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60" zoomScaleNormal="70" workbookViewId="0">
      <selection activeCell="E55" sqref="E55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6" width="11.109375" customWidth="1"/>
    <col min="7" max="8" width="13.109375" bestFit="1" customWidth="1"/>
    <col min="9" max="9" width="11.109375" customWidth="1"/>
    <col min="10" max="10" width="10.8867187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7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7" ht="15.75">
      <c r="A3" s="1259" t="s">
        <v>192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7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</row>
    <row r="5" spans="1:17">
      <c r="A5" s="1"/>
      <c r="B5" s="40"/>
      <c r="C5" s="40"/>
      <c r="D5" s="40"/>
      <c r="E5" s="40"/>
      <c r="F5" s="40"/>
      <c r="G5" s="275"/>
      <c r="H5" s="83"/>
      <c r="I5" s="83"/>
      <c r="J5" s="83"/>
      <c r="K5" s="83"/>
      <c r="L5" s="83"/>
      <c r="M5" s="83"/>
      <c r="N5" s="83"/>
      <c r="O5" s="276"/>
      <c r="P5" s="60"/>
      <c r="Q5" s="60"/>
    </row>
    <row r="6" spans="1:17" ht="15.75">
      <c r="A6" s="247" t="str">
        <f>'C.2.2 B 09'!A6</f>
        <v>Data:___X____Base Period________Forecasted Period</v>
      </c>
      <c r="B6" s="277"/>
      <c r="C6" s="247"/>
      <c r="D6" s="914"/>
      <c r="E6" s="60"/>
      <c r="F6" s="60"/>
      <c r="G6" s="60"/>
      <c r="H6" s="60"/>
      <c r="I6" s="60"/>
      <c r="J6" s="60"/>
      <c r="K6" s="60"/>
      <c r="L6" s="60"/>
      <c r="M6" s="60"/>
      <c r="N6" s="277"/>
      <c r="O6" s="277"/>
      <c r="P6" s="665" t="s">
        <v>1524</v>
      </c>
      <c r="Q6" s="60"/>
    </row>
    <row r="7" spans="1:17">
      <c r="A7" s="247" t="str">
        <f>'C.2.2 B 09'!A7</f>
        <v>Type of Filing:___X____Original________Updated ________Revised</v>
      </c>
      <c r="B7" s="277"/>
      <c r="C7" s="247"/>
      <c r="D7" s="60"/>
      <c r="E7" s="60"/>
      <c r="F7" s="60"/>
      <c r="G7" s="60"/>
      <c r="H7" s="60"/>
      <c r="I7" s="60"/>
      <c r="J7" s="60"/>
      <c r="K7" s="60"/>
      <c r="L7" s="60"/>
      <c r="M7" s="60"/>
      <c r="N7" s="277"/>
      <c r="O7" s="277"/>
      <c r="P7" s="666" t="s">
        <v>38</v>
      </c>
      <c r="Q7" s="60"/>
    </row>
    <row r="8" spans="1:17">
      <c r="A8" s="265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86"/>
      <c r="N8" s="397"/>
      <c r="O8" s="397"/>
      <c r="P8" s="667" t="str">
        <f>C.1!J9</f>
        <v>Witness: Waller, Smith</v>
      </c>
      <c r="Q8" s="60"/>
    </row>
    <row r="9" spans="1:17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104"/>
    </row>
    <row r="10" spans="1:17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09'!F10</f>
        <v>42155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85"/>
    </row>
    <row r="11" spans="1:17">
      <c r="A11" s="277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</row>
    <row r="12" spans="1:17">
      <c r="A12" s="104">
        <v>1</v>
      </c>
      <c r="B12" s="396">
        <v>4030</v>
      </c>
      <c r="C12" s="60" t="s">
        <v>96</v>
      </c>
      <c r="D12" s="782">
        <f>'[10]Div 012'!C29</f>
        <v>2.9103830456733704E-11</v>
      </c>
      <c r="E12" s="782">
        <f>'[10]Div 012'!D29</f>
        <v>2.9103830456733704E-11</v>
      </c>
      <c r="F12" s="782">
        <f>'[10]Div 012'!E29</f>
        <v>1.0186340659856796E-10</v>
      </c>
      <c r="G12" s="782">
        <f>'[10]Div 012'!F29</f>
        <v>-5.8207660913467407E-11</v>
      </c>
      <c r="H12" s="782">
        <f>'[10]Div 012'!G29</f>
        <v>-1.1641532182693481E-10</v>
      </c>
      <c r="I12" s="782">
        <f>'[10]Div 012'!H29</f>
        <v>7.2759576141834259E-12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204">
        <f t="shared" ref="P12:P25" si="0">SUM(D12:O12)</f>
        <v>-7.2759576141834259E-12</v>
      </c>
      <c r="Q12" s="771"/>
    </row>
    <row r="13" spans="1:17">
      <c r="A13" s="325">
        <f>A12+1</f>
        <v>2</v>
      </c>
      <c r="B13" s="400">
        <v>4081</v>
      </c>
      <c r="C13" s="204" t="s">
        <v>880</v>
      </c>
      <c r="D13" s="782">
        <f>'[10]Div 012'!C30</f>
        <v>-2.9103830456733704E-11</v>
      </c>
      <c r="E13" s="782">
        <f>'[10]Div 012'!D30</f>
        <v>1.0000000052968971E-2</v>
      </c>
      <c r="F13" s="782">
        <f>'[10]Div 012'!E30</f>
        <v>-2.4318325131389429E-11</v>
      </c>
      <c r="G13" s="782">
        <f>'[10]Div 012'!F30</f>
        <v>-9.99999999275758E-3</v>
      </c>
      <c r="H13" s="782">
        <f>'[10]Div 012'!G30</f>
        <v>1.4551915228366852E-11</v>
      </c>
      <c r="I13" s="782">
        <f>'[10]Div 012'!H30</f>
        <v>-1.9099388737231493E-11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204">
        <f t="shared" si="0"/>
        <v>2.2417623313231161E-12</v>
      </c>
      <c r="Q13" s="204"/>
    </row>
    <row r="14" spans="1:17">
      <c r="A14" s="325">
        <f t="shared" ref="A14:A35" si="1">A13+1</f>
        <v>3</v>
      </c>
      <c r="B14" s="400">
        <v>8700</v>
      </c>
      <c r="C14" s="204" t="s">
        <v>932</v>
      </c>
      <c r="D14" s="782">
        <f>'[10]Div 012'!C33</f>
        <v>0</v>
      </c>
      <c r="E14" s="782">
        <f>'[10]Div 012'!D33</f>
        <v>0</v>
      </c>
      <c r="F14" s="782">
        <f>'[10]Div 012'!E33</f>
        <v>110.8</v>
      </c>
      <c r="G14" s="782">
        <f>'[10]Div 012'!F33</f>
        <v>0</v>
      </c>
      <c r="H14" s="782">
        <f>'[10]Div 012'!G33</f>
        <v>0</v>
      </c>
      <c r="I14" s="782">
        <f>'[10]Div 012'!H33</f>
        <v>0</v>
      </c>
      <c r="J14" s="123">
        <f>VLOOKUP($B14,'[12]Div 12 forecast'!$D$163:$AF$239,9,FALSE)</f>
        <v>11.512789127790336</v>
      </c>
      <c r="K14" s="123">
        <f>VLOOKUP($B14,'[12]Div 12 forecast'!$D$163:$AF$239,10,FALSE)</f>
        <v>11.343658236366004</v>
      </c>
      <c r="L14" s="123">
        <f>VLOOKUP($B14,'[12]Div 12 forecast'!$D$163:$AF$239,11,FALSE)</f>
        <v>10.761569823572707</v>
      </c>
      <c r="M14" s="123">
        <f>VLOOKUP($B14,'[12]Div 12 forecast'!$D$163:$AF$239,12,FALSE)</f>
        <v>12.461851198899561</v>
      </c>
      <c r="N14" s="123">
        <f>VLOOKUP($B14,'[12]Div 12 forecast'!$D$163:$AF$239,13,FALSE)</f>
        <v>12.307076245208858</v>
      </c>
      <c r="O14" s="123">
        <f>VLOOKUP($B14,'[12]Div 12 forecast'!$D$163:$AF$239,14,FALSE)</f>
        <v>9.3742030285335787</v>
      </c>
      <c r="P14" s="204">
        <f t="shared" si="0"/>
        <v>178.56114766037103</v>
      </c>
      <c r="Q14" s="204"/>
    </row>
    <row r="15" spans="1:17">
      <c r="A15" s="325">
        <f t="shared" si="1"/>
        <v>4</v>
      </c>
      <c r="B15" s="400">
        <v>8740</v>
      </c>
      <c r="C15" s="204" t="s">
        <v>934</v>
      </c>
      <c r="D15" s="782">
        <f>'[10]Div 012'!C34</f>
        <v>576.29</v>
      </c>
      <c r="E15" s="782">
        <f>'[10]Div 012'!D34</f>
        <v>2015.51</v>
      </c>
      <c r="F15" s="782">
        <f>'[10]Div 012'!E34</f>
        <v>1092.17</v>
      </c>
      <c r="G15" s="782">
        <f>'[10]Div 012'!F34</f>
        <v>1424.9099999999999</v>
      </c>
      <c r="H15" s="782">
        <f>'[10]Div 012'!G34</f>
        <v>1268.17</v>
      </c>
      <c r="I15" s="782">
        <f>'[10]Div 012'!H34</f>
        <v>3850.36</v>
      </c>
      <c r="J15" s="123">
        <f>VLOOKUP($B15,'[12]Div 12 forecast'!$D$163:$AF$239,9,FALSE)</f>
        <v>1944.2721978116338</v>
      </c>
      <c r="K15" s="123">
        <f>VLOOKUP($B15,'[12]Div 12 forecast'!$D$163:$AF$239,10,FALSE)</f>
        <v>1944.2721978116338</v>
      </c>
      <c r="L15" s="123">
        <f>VLOOKUP($B15,'[12]Div 12 forecast'!$D$163:$AF$239,11,FALSE)</f>
        <v>1944.2721978116338</v>
      </c>
      <c r="M15" s="123">
        <f>VLOOKUP($B15,'[12]Div 12 forecast'!$D$163:$AF$239,12,FALSE)</f>
        <v>1944.2721978116338</v>
      </c>
      <c r="N15" s="123">
        <f>VLOOKUP($B15,'[12]Div 12 forecast'!$D$163:$AF$239,13,FALSE)</f>
        <v>1944.2721978116338</v>
      </c>
      <c r="O15" s="123">
        <f>VLOOKUP($B15,'[12]Div 12 forecast'!$D$163:$AF$239,14,FALSE)</f>
        <v>1944.2721978116338</v>
      </c>
      <c r="P15" s="204">
        <f t="shared" si="0"/>
        <v>21893.043186869803</v>
      </c>
      <c r="Q15" s="204"/>
    </row>
    <row r="16" spans="1:17">
      <c r="A16" s="325">
        <f t="shared" si="1"/>
        <v>5</v>
      </c>
      <c r="B16" s="400">
        <v>8800</v>
      </c>
      <c r="C16" s="204" t="s">
        <v>940</v>
      </c>
      <c r="D16" s="782">
        <f>'[10]Div 012'!C35</f>
        <v>0</v>
      </c>
      <c r="E16" s="782">
        <f>'[10]Div 012'!D35</f>
        <v>0</v>
      </c>
      <c r="F16" s="782">
        <f>'[10]Div 012'!E35</f>
        <v>0</v>
      </c>
      <c r="G16" s="782">
        <f>'[10]Div 012'!F35</f>
        <v>0</v>
      </c>
      <c r="H16" s="782">
        <f>'[10]Div 012'!G35</f>
        <v>86.64</v>
      </c>
      <c r="I16" s="782">
        <f>'[10]Div 012'!H35</f>
        <v>0</v>
      </c>
      <c r="J16" s="123">
        <f>VLOOKUP($B16,'[12]Div 12 forecast'!$D$163:$AF$239,9,FALSE)</f>
        <v>9.4147347532987116</v>
      </c>
      <c r="K16" s="123">
        <f>VLOOKUP($B16,'[12]Div 12 forecast'!$D$163:$AF$239,10,FALSE)</f>
        <v>8.2701220092074461</v>
      </c>
      <c r="L16" s="123">
        <f>VLOOKUP($B16,'[12]Div 12 forecast'!$D$163:$AF$239,11,FALSE)</f>
        <v>10.752357998372652</v>
      </c>
      <c r="M16" s="123">
        <f>VLOOKUP($B16,'[12]Div 12 forecast'!$D$163:$AF$239,12,FALSE)</f>
        <v>7.6915742923715502</v>
      </c>
      <c r="N16" s="123">
        <f>VLOOKUP($B16,'[12]Div 12 forecast'!$D$163:$AF$239,13,FALSE)</f>
        <v>6.5933227042125786</v>
      </c>
      <c r="O16" s="123">
        <f>VLOOKUP($B16,'[12]Div 12 forecast'!$D$163:$AF$239,14,FALSE)</f>
        <v>6.0170460944030433</v>
      </c>
      <c r="P16" s="204">
        <f t="shared" si="0"/>
        <v>135.37915785186598</v>
      </c>
      <c r="Q16" s="204"/>
    </row>
    <row r="17" spans="1:17">
      <c r="A17" s="325">
        <f t="shared" si="1"/>
        <v>6</v>
      </c>
      <c r="B17" s="400">
        <v>9010</v>
      </c>
      <c r="C17" s="204" t="s">
        <v>186</v>
      </c>
      <c r="D17" s="782">
        <f>'[10]Div 012'!C36</f>
        <v>492128.35</v>
      </c>
      <c r="E17" s="782">
        <f>'[10]Div 012'!D36</f>
        <v>506968.62999999983</v>
      </c>
      <c r="F17" s="782">
        <f>'[10]Div 012'!E36</f>
        <v>484013.91</v>
      </c>
      <c r="G17" s="782">
        <f>'[10]Div 012'!F36</f>
        <v>513243.63000000006</v>
      </c>
      <c r="H17" s="782">
        <f>'[10]Div 012'!G36</f>
        <v>517441.16000000015</v>
      </c>
      <c r="I17" s="782">
        <f>'[10]Div 012'!H36</f>
        <v>482174.60000000015</v>
      </c>
      <c r="J17" s="123">
        <f>VLOOKUP($B17,'[12]Div 12 forecast'!$D$163:$AF$239,9,FALSE)</f>
        <v>486014.30371933634</v>
      </c>
      <c r="K17" s="123">
        <f>VLOOKUP($B17,'[12]Div 12 forecast'!$D$163:$AF$239,10,FALSE)</f>
        <v>492955.17758914107</v>
      </c>
      <c r="L17" s="123">
        <f>VLOOKUP($B17,'[12]Div 12 forecast'!$D$163:$AF$239,11,FALSE)</f>
        <v>471502.18117754912</v>
      </c>
      <c r="M17" s="123">
        <f>VLOOKUP($B17,'[12]Div 12 forecast'!$D$163:$AF$239,12,FALSE)</f>
        <v>516119.47413596848</v>
      </c>
      <c r="N17" s="123">
        <f>VLOOKUP($B17,'[12]Div 12 forecast'!$D$163:$AF$239,13,FALSE)</f>
        <v>475749.51810322661</v>
      </c>
      <c r="O17" s="123">
        <f>VLOOKUP($B17,'[12]Div 12 forecast'!$D$163:$AF$239,14,FALSE)</f>
        <v>468584.52730546973</v>
      </c>
      <c r="P17" s="204">
        <f t="shared" si="0"/>
        <v>5906895.462030692</v>
      </c>
      <c r="Q17" s="204"/>
    </row>
    <row r="18" spans="1:17">
      <c r="A18" s="325">
        <f t="shared" si="1"/>
        <v>7</v>
      </c>
      <c r="B18" s="400">
        <v>9020</v>
      </c>
      <c r="C18" s="204" t="s">
        <v>951</v>
      </c>
      <c r="D18" s="782">
        <f>'[10]Div 012'!C37</f>
        <v>0</v>
      </c>
      <c r="E18" s="782">
        <f>'[10]Div 012'!D37</f>
        <v>0</v>
      </c>
      <c r="F18" s="782">
        <f>'[10]Div 012'!E37</f>
        <v>0</v>
      </c>
      <c r="G18" s="782">
        <f>'[10]Div 012'!F37</f>
        <v>0</v>
      </c>
      <c r="H18" s="782">
        <f>'[10]Div 012'!G37</f>
        <v>647.53</v>
      </c>
      <c r="I18" s="782">
        <f>'[10]Div 012'!H37</f>
        <v>0</v>
      </c>
      <c r="J18" s="123">
        <f>VLOOKUP($B18,'[12]Div 12 forecast'!$D$163:$AF$239,9,FALSE)</f>
        <v>67.282277472184802</v>
      </c>
      <c r="K18" s="123">
        <f>VLOOKUP($B18,'[12]Div 12 forecast'!$D$163:$AF$239,10,FALSE)</f>
        <v>66.293853951210082</v>
      </c>
      <c r="L18" s="123">
        <f>VLOOKUP($B18,'[12]Div 12 forecast'!$D$163:$AF$239,11,FALSE)</f>
        <v>62.892051514964223</v>
      </c>
      <c r="M18" s="123">
        <f>VLOOKUP($B18,'[12]Div 12 forecast'!$D$163:$AF$239,12,FALSE)</f>
        <v>72.828722985771051</v>
      </c>
      <c r="N18" s="123">
        <f>VLOOKUP($B18,'[12]Div 12 forecast'!$D$163:$AF$239,13,FALSE)</f>
        <v>71.924197482491806</v>
      </c>
      <c r="O18" s="123">
        <f>VLOOKUP($B18,'[12]Div 12 forecast'!$D$163:$AF$239,14,FALSE)</f>
        <v>54.784094648613255</v>
      </c>
      <c r="P18" s="204">
        <f t="shared" si="0"/>
        <v>1043.535198055235</v>
      </c>
      <c r="Q18" s="204"/>
    </row>
    <row r="19" spans="1:17">
      <c r="A19" s="325">
        <f t="shared" si="1"/>
        <v>8</v>
      </c>
      <c r="B19" s="400">
        <v>9030</v>
      </c>
      <c r="C19" s="204" t="s">
        <v>956</v>
      </c>
      <c r="D19" s="782">
        <f>'[10]Div 012'!C38</f>
        <v>2002011.2499999998</v>
      </c>
      <c r="E19" s="782">
        <f>'[10]Div 012'!D38</f>
        <v>2081127.2300000002</v>
      </c>
      <c r="F19" s="782">
        <f>'[10]Div 012'!E38</f>
        <v>1934126.7400000002</v>
      </c>
      <c r="G19" s="782">
        <f>'[10]Div 012'!F38</f>
        <v>1931715.2699999998</v>
      </c>
      <c r="H19" s="782">
        <f>'[10]Div 012'!G38</f>
        <v>2068679.1599999997</v>
      </c>
      <c r="I19" s="782">
        <f>'[10]Div 012'!H38</f>
        <v>1808885.1700000004</v>
      </c>
      <c r="J19" s="123">
        <f>VLOOKUP($B19,'[12]Div 12 forecast'!$D$163:$AF$239,9,FALSE)</f>
        <v>1951397.8726052137</v>
      </c>
      <c r="K19" s="123">
        <f>VLOOKUP($B19,'[12]Div 12 forecast'!$D$163:$AF$239,10,FALSE)</f>
        <v>2041452.5456392185</v>
      </c>
      <c r="L19" s="123">
        <f>VLOOKUP($B19,'[12]Div 12 forecast'!$D$163:$AF$239,11,FALSE)</f>
        <v>1905383.5533197431</v>
      </c>
      <c r="M19" s="123">
        <f>VLOOKUP($B19,'[12]Div 12 forecast'!$D$163:$AF$239,12,FALSE)</f>
        <v>2078745.277267073</v>
      </c>
      <c r="N19" s="123">
        <f>VLOOKUP($B19,'[12]Div 12 forecast'!$D$163:$AF$239,13,FALSE)</f>
        <v>1955371.2923865118</v>
      </c>
      <c r="O19" s="123">
        <f>VLOOKUP($B19,'[12]Div 12 forecast'!$D$163:$AF$239,14,FALSE)</f>
        <v>1903225.0414688229</v>
      </c>
      <c r="P19" s="204">
        <f t="shared" si="0"/>
        <v>23662120.402686585</v>
      </c>
      <c r="Q19" s="204"/>
    </row>
    <row r="20" spans="1:17">
      <c r="A20" s="325">
        <f t="shared" si="1"/>
        <v>9</v>
      </c>
      <c r="B20" s="400">
        <v>9200</v>
      </c>
      <c r="C20" s="204" t="s">
        <v>187</v>
      </c>
      <c r="D20" s="782">
        <f>'[10]Div 012'!C39</f>
        <v>397661.68</v>
      </c>
      <c r="E20" s="782">
        <f>'[10]Div 012'!D39</f>
        <v>345241.76</v>
      </c>
      <c r="F20" s="782">
        <f>'[10]Div 012'!E39</f>
        <v>332031.28999999998</v>
      </c>
      <c r="G20" s="782">
        <f>'[10]Div 012'!F39</f>
        <v>327601.55</v>
      </c>
      <c r="H20" s="782">
        <f>'[10]Div 012'!G39</f>
        <v>366879.32</v>
      </c>
      <c r="I20" s="782">
        <f>'[10]Div 012'!H39</f>
        <v>374650.87</v>
      </c>
      <c r="J20" s="123">
        <f>VLOOKUP($B20,'[12]Div 12 forecast'!$D$163:$AF$239,9,FALSE)</f>
        <v>357551.84747406084</v>
      </c>
      <c r="K20" s="123">
        <f>VLOOKUP($B20,'[12]Div 12 forecast'!$D$163:$AF$239,10,FALSE)</f>
        <v>365099.56907697639</v>
      </c>
      <c r="L20" s="123">
        <f>VLOOKUP($B20,'[12]Div 12 forecast'!$D$163:$AF$239,11,FALSE)</f>
        <v>349087.72095105256</v>
      </c>
      <c r="M20" s="123">
        <f>VLOOKUP($B20,'[12]Div 12 forecast'!$D$163:$AF$239,12,FALSE)</f>
        <v>381126.70957916311</v>
      </c>
      <c r="N20" s="123">
        <f>VLOOKUP($B20,'[12]Div 12 forecast'!$D$163:$AF$239,13,FALSE)</f>
        <v>349065.10628278391</v>
      </c>
      <c r="O20" s="123">
        <f>VLOOKUP($B20,'[12]Div 12 forecast'!$D$163:$AF$239,14,FALSE)</f>
        <v>349065.23505700979</v>
      </c>
      <c r="P20" s="204">
        <f t="shared" si="0"/>
        <v>4295062.6584210461</v>
      </c>
      <c r="Q20" s="204"/>
    </row>
    <row r="21" spans="1:17">
      <c r="A21" s="325">
        <f t="shared" si="1"/>
        <v>10</v>
      </c>
      <c r="B21" s="400">
        <v>9210</v>
      </c>
      <c r="C21" s="204" t="s">
        <v>963</v>
      </c>
      <c r="D21" s="782">
        <f>'[10]Div 012'!C40</f>
        <v>827251.4</v>
      </c>
      <c r="E21" s="782">
        <f>'[10]Div 012'!D40</f>
        <v>819939.57999999961</v>
      </c>
      <c r="F21" s="782">
        <f>'[10]Div 012'!E40</f>
        <v>894493.91</v>
      </c>
      <c r="G21" s="782">
        <f>'[10]Div 012'!F40</f>
        <v>879145.65</v>
      </c>
      <c r="H21" s="782">
        <f>'[10]Div 012'!G40</f>
        <v>936394.11999999988</v>
      </c>
      <c r="I21" s="782">
        <f>'[10]Div 012'!H40</f>
        <v>874386.96000000031</v>
      </c>
      <c r="J21" s="123">
        <f>VLOOKUP($B21,'[12]Div 12 forecast'!$D$163:$AF$239,9,FALSE)</f>
        <v>250285.00072836917</v>
      </c>
      <c r="K21" s="123">
        <f>VLOOKUP($B21,'[12]Div 12 forecast'!$D$163:$AF$239,10,FALSE)</f>
        <v>218204.73640235869</v>
      </c>
      <c r="L21" s="123">
        <f>VLOOKUP($B21,'[12]Div 12 forecast'!$D$163:$AF$239,11,FALSE)</f>
        <v>219028.16632233048</v>
      </c>
      <c r="M21" s="123">
        <f>VLOOKUP($B21,'[12]Div 12 forecast'!$D$163:$AF$239,12,FALSE)</f>
        <v>274115.33519323886</v>
      </c>
      <c r="N21" s="123">
        <f>VLOOKUP($B21,'[12]Div 12 forecast'!$D$163:$AF$239,13,FALSE)</f>
        <v>216051.37562745909</v>
      </c>
      <c r="O21" s="123">
        <f>VLOOKUP($B21,'[12]Div 12 forecast'!$D$163:$AF$239,14,FALSE)</f>
        <v>208814.04274894169</v>
      </c>
      <c r="P21" s="204">
        <f t="shared" si="0"/>
        <v>6618110.277022697</v>
      </c>
      <c r="Q21" s="204"/>
    </row>
    <row r="22" spans="1:17">
      <c r="A22" s="325">
        <f t="shared" si="1"/>
        <v>11</v>
      </c>
      <c r="B22" s="400">
        <v>9220</v>
      </c>
      <c r="C22" s="204" t="s">
        <v>964</v>
      </c>
      <c r="D22" s="782">
        <f>'[10]Div 012'!C41</f>
        <v>-5012946.4200000009</v>
      </c>
      <c r="E22" s="782">
        <f>'[10]Div 012'!D41</f>
        <v>-5016265.3699999992</v>
      </c>
      <c r="F22" s="782">
        <f>'[10]Div 012'!E41</f>
        <v>-4967862.3299999991</v>
      </c>
      <c r="G22" s="782">
        <f>'[10]Div 012'!F41</f>
        <v>-4893450.7599999988</v>
      </c>
      <c r="H22" s="782">
        <f>'[10]Div 012'!G41</f>
        <v>-5310774.2</v>
      </c>
      <c r="I22" s="782">
        <f>'[10]Div 012'!H41</f>
        <v>-4726287.3599999975</v>
      </c>
      <c r="J22" s="123">
        <f t="shared" ref="J22:O22" si="2">-(SUM(J12:J21)+SUM(J23:J28))</f>
        <v>-4257402.8</v>
      </c>
      <c r="K22" s="123">
        <f t="shared" si="2"/>
        <v>-4290022.42</v>
      </c>
      <c r="L22" s="123">
        <f t="shared" si="2"/>
        <v>-4100092.34</v>
      </c>
      <c r="M22" s="123">
        <f t="shared" si="2"/>
        <v>-4469999</v>
      </c>
      <c r="N22" s="123">
        <f t="shared" si="2"/>
        <v>-4111676.4000000004</v>
      </c>
      <c r="O22" s="123">
        <f t="shared" si="2"/>
        <v>-4042121.9699999997</v>
      </c>
      <c r="P22" s="204">
        <f t="shared" si="0"/>
        <v>-55198901.369999982</v>
      </c>
      <c r="Q22" s="771"/>
    </row>
    <row r="23" spans="1:17">
      <c r="A23" s="325">
        <f t="shared" si="1"/>
        <v>12</v>
      </c>
      <c r="B23" s="400">
        <v>9230</v>
      </c>
      <c r="C23" s="204" t="s">
        <v>965</v>
      </c>
      <c r="D23" s="782">
        <f>'[10]Div 012'!C42</f>
        <v>45897.87</v>
      </c>
      <c r="E23" s="782">
        <f>'[10]Div 012'!D42</f>
        <v>39094.75</v>
      </c>
      <c r="F23" s="782">
        <f>'[10]Div 012'!E42</f>
        <v>61427.96</v>
      </c>
      <c r="G23" s="782">
        <f>'[10]Div 012'!F42</f>
        <v>49206.939999999995</v>
      </c>
      <c r="H23" s="782">
        <f>'[10]Div 012'!G42</f>
        <v>408.03</v>
      </c>
      <c r="I23" s="782">
        <f>'[10]Div 012'!H42</f>
        <v>68225.12000000001</v>
      </c>
      <c r="J23" s="123">
        <f>VLOOKUP($B23,'[12]Div 12 forecast'!$D$163:$AF$239,9,FALSE)</f>
        <v>23493.647262455484</v>
      </c>
      <c r="K23" s="123">
        <f>VLOOKUP($B23,'[12]Div 12 forecast'!$D$163:$AF$239,10,FALSE)</f>
        <v>18405.812904484945</v>
      </c>
      <c r="L23" s="123">
        <f>VLOOKUP($B23,'[12]Div 12 forecast'!$D$163:$AF$239,11,FALSE)</f>
        <v>17979.433014054684</v>
      </c>
      <c r="M23" s="123">
        <f>VLOOKUP($B23,'[12]Div 12 forecast'!$D$163:$AF$239,12,FALSE)</f>
        <v>27198.700198579809</v>
      </c>
      <c r="N23" s="123">
        <f>VLOOKUP($B23,'[12]Div 12 forecast'!$D$163:$AF$239,13,FALSE)</f>
        <v>17905.950000505873</v>
      </c>
      <c r="O23" s="123">
        <f>VLOOKUP($B23,'[12]Div 12 forecast'!$D$163:$AF$239,14,FALSE)</f>
        <v>17884.130417478467</v>
      </c>
      <c r="P23" s="204">
        <f t="shared" si="0"/>
        <v>387128.34379755921</v>
      </c>
      <c r="Q23" s="204"/>
    </row>
    <row r="24" spans="1:17">
      <c r="A24" s="325">
        <f t="shared" si="1"/>
        <v>13</v>
      </c>
      <c r="B24" s="400">
        <v>9240</v>
      </c>
      <c r="C24" s="204" t="s">
        <v>966</v>
      </c>
      <c r="D24" s="782">
        <f>'[10]Div 012'!C43</f>
        <v>10471.56</v>
      </c>
      <c r="E24" s="782">
        <f>'[10]Div 012'!D43</f>
        <v>10471.56</v>
      </c>
      <c r="F24" s="782">
        <f>'[10]Div 012'!E43</f>
        <v>10471.56</v>
      </c>
      <c r="G24" s="782">
        <f>'[10]Div 012'!F43</f>
        <v>10471.56</v>
      </c>
      <c r="H24" s="782">
        <f>'[10]Div 012'!G43</f>
        <v>10471.56</v>
      </c>
      <c r="I24" s="782">
        <f>'[10]Div 012'!H43</f>
        <v>10471.56</v>
      </c>
      <c r="J24" s="123">
        <f>VLOOKUP($B24,'[12]Div 12 forecast'!$D$163:$AF$239,9,FALSE)</f>
        <v>0</v>
      </c>
      <c r="K24" s="123">
        <f>VLOOKUP($B24,'[12]Div 12 forecast'!$D$163:$AF$239,10,FALSE)</f>
        <v>0</v>
      </c>
      <c r="L24" s="123">
        <f>VLOOKUP($B24,'[12]Div 12 forecast'!$D$163:$AF$239,11,FALSE)</f>
        <v>0</v>
      </c>
      <c r="M24" s="123">
        <f>VLOOKUP($B24,'[12]Div 12 forecast'!$D$163:$AF$239,12,FALSE)</f>
        <v>0</v>
      </c>
      <c r="N24" s="123">
        <f>VLOOKUP($B24,'[12]Div 12 forecast'!$D$163:$AF$239,13,FALSE)</f>
        <v>0</v>
      </c>
      <c r="O24" s="123">
        <f>VLOOKUP($B24,'[12]Div 12 forecast'!$D$163:$AF$239,14,FALSE)</f>
        <v>0</v>
      </c>
      <c r="P24" s="204">
        <f t="shared" si="0"/>
        <v>62829.359999999993</v>
      </c>
      <c r="Q24" s="204"/>
    </row>
    <row r="25" spans="1:17">
      <c r="A25" s="325">
        <f t="shared" si="1"/>
        <v>14</v>
      </c>
      <c r="B25" s="400">
        <v>9250</v>
      </c>
      <c r="C25" t="s">
        <v>967</v>
      </c>
      <c r="D25" s="782">
        <f>'[10]Div 012'!C44</f>
        <v>0</v>
      </c>
      <c r="E25" s="782">
        <f>'[10]Div 012'!D44</f>
        <v>263.10000000000002</v>
      </c>
      <c r="F25" s="782">
        <f>'[10]Div 012'!E44</f>
        <v>0</v>
      </c>
      <c r="G25" s="782">
        <f>'[10]Div 012'!F44</f>
        <v>0</v>
      </c>
      <c r="H25" s="782">
        <f>'[10]Div 012'!G44</f>
        <v>0</v>
      </c>
      <c r="I25" s="782">
        <f>'[10]Div 012'!H44</f>
        <v>0</v>
      </c>
      <c r="J25" s="123">
        <f>VLOOKUP($B25,'[12]Div 12 forecast'!$D$163:$AF$239,9,FALSE)</f>
        <v>22.285494374872915</v>
      </c>
      <c r="K25" s="123">
        <f>VLOOKUP($B25,'[12]Div 12 forecast'!$D$163:$AF$239,10,FALSE)</f>
        <v>16.128740866532681</v>
      </c>
      <c r="L25" s="123">
        <f>VLOOKUP($B25,'[12]Div 12 forecast'!$D$163:$AF$239,11,FALSE)</f>
        <v>16.128740866532681</v>
      </c>
      <c r="M25" s="123">
        <f>VLOOKUP($B25,'[12]Div 12 forecast'!$D$163:$AF$239,12,FALSE)</f>
        <v>24.99427988755988</v>
      </c>
      <c r="N25" s="123">
        <f>VLOOKUP($B25,'[12]Div 12 forecast'!$D$163:$AF$239,13,FALSE)</f>
        <v>16.128740866532681</v>
      </c>
      <c r="O25" s="123">
        <f>VLOOKUP($B25,'[12]Div 12 forecast'!$D$163:$AF$239,14,FALSE)</f>
        <v>16.128740866532681</v>
      </c>
      <c r="P25" s="204">
        <f t="shared" si="0"/>
        <v>374.89473772856348</v>
      </c>
      <c r="Q25" s="204"/>
    </row>
    <row r="26" spans="1:17">
      <c r="A26" s="325">
        <f t="shared" si="1"/>
        <v>15</v>
      </c>
      <c r="B26" s="400">
        <v>9260</v>
      </c>
      <c r="C26" s="204" t="s">
        <v>968</v>
      </c>
      <c r="D26" s="782">
        <f>'[10]Div 012'!C45</f>
        <v>1082828.1199999996</v>
      </c>
      <c r="E26" s="782">
        <f>'[10]Div 012'!D45</f>
        <v>1057005.1400000001</v>
      </c>
      <c r="F26" s="782">
        <f>'[10]Div 012'!E45</f>
        <v>1090778.6600000001</v>
      </c>
      <c r="G26" s="782">
        <f>'[10]Div 012'!F45</f>
        <v>1030066.7700000003</v>
      </c>
      <c r="H26" s="782">
        <f>'[10]Div 012'!G45</f>
        <v>1252829.4999999998</v>
      </c>
      <c r="I26" s="782">
        <f>'[10]Div 012'!H45</f>
        <v>951298.00999999989</v>
      </c>
      <c r="J26" s="123">
        <f>VLOOKUP($B26,'[12]Div 12 forecast'!$D$163:$AF$239,9,FALSE)</f>
        <v>1049930.7690482407</v>
      </c>
      <c r="K26" s="123">
        <f>VLOOKUP($B26,'[12]Div 12 forecast'!$D$163:$AF$239,10,FALSE)</f>
        <v>1013616.7286260744</v>
      </c>
      <c r="L26" s="123">
        <f>VLOOKUP($B26,'[12]Div 12 forecast'!$D$163:$AF$239,11,FALSE)</f>
        <v>984005.84349530435</v>
      </c>
      <c r="M26" s="123">
        <f>VLOOKUP($B26,'[12]Div 12 forecast'!$D$163:$AF$239,12,FALSE)</f>
        <v>1053202.1013875802</v>
      </c>
      <c r="N26" s="123">
        <f>VLOOKUP($B26,'[12]Div 12 forecast'!$D$163:$AF$239,13,FALSE)</f>
        <v>962214.24396622425</v>
      </c>
      <c r="O26" s="123">
        <f>VLOOKUP($B26,'[12]Div 12 forecast'!$D$163:$AF$239,14,FALSE)</f>
        <v>959194.79637543834</v>
      </c>
      <c r="P26" s="204">
        <f>SUM(D26:O26)</f>
        <v>12486970.682898862</v>
      </c>
      <c r="Q26" s="204"/>
    </row>
    <row r="27" spans="1:17">
      <c r="A27" s="325">
        <f t="shared" si="1"/>
        <v>16</v>
      </c>
      <c r="B27" s="400">
        <v>9310</v>
      </c>
      <c r="C27" s="204" t="s">
        <v>189</v>
      </c>
      <c r="D27" s="782">
        <f>'[10]Div 012'!C46</f>
        <v>151119.92000000001</v>
      </c>
      <c r="E27" s="782">
        <f>'[10]Div 012'!D46</f>
        <v>150819.15</v>
      </c>
      <c r="F27" s="782">
        <f>'[10]Div 012'!E46</f>
        <v>150915.37999999998</v>
      </c>
      <c r="G27" s="782">
        <f>'[10]Div 012'!F46</f>
        <v>150928.35999999999</v>
      </c>
      <c r="H27" s="782">
        <f>'[10]Div 012'!G46</f>
        <v>150935.1</v>
      </c>
      <c r="I27" s="782">
        <f>'[10]Div 012'!H46</f>
        <v>151108.78</v>
      </c>
      <c r="J27" s="123">
        <f>VLOOKUP($B27,'[12]Div 12 forecast'!$D$163:$AF$239,9,FALSE)</f>
        <v>136663.21028857684</v>
      </c>
      <c r="K27" s="123">
        <f>VLOOKUP($B27,'[12]Div 12 forecast'!$D$163:$AF$239,10,FALSE)</f>
        <v>138182.07091391427</v>
      </c>
      <c r="L27" s="123">
        <f>VLOOKUP($B27,'[12]Div 12 forecast'!$D$163:$AF$239,11,FALSE)</f>
        <v>151047.2027226068</v>
      </c>
      <c r="M27" s="123">
        <f>VLOOKUP($B27,'[12]Div 12 forecast'!$D$163:$AF$239,12,FALSE)</f>
        <v>137376.75824928418</v>
      </c>
      <c r="N27" s="123">
        <f>VLOOKUP($B27,'[12]Div 12 forecast'!$D$163:$AF$239,13,FALSE)</f>
        <v>133211.70401175355</v>
      </c>
      <c r="O27" s="123">
        <f>VLOOKUP($B27,'[12]Div 12 forecast'!$D$163:$AF$239,14,FALSE)</f>
        <v>133313.26431375064</v>
      </c>
      <c r="P27" s="204">
        <f>SUM(D27:O27)</f>
        <v>1735620.9004998861</v>
      </c>
      <c r="Q27" s="204"/>
    </row>
    <row r="28" spans="1:17">
      <c r="A28" s="325">
        <f t="shared" si="1"/>
        <v>17</v>
      </c>
      <c r="B28" s="400">
        <v>9320</v>
      </c>
      <c r="C28" s="204" t="s">
        <v>190</v>
      </c>
      <c r="D28" s="782">
        <f>'[10]Div 012'!C47</f>
        <v>3000</v>
      </c>
      <c r="E28" s="782">
        <f>'[10]Div 012'!D47</f>
        <v>3318.9800000000005</v>
      </c>
      <c r="F28" s="782">
        <f>'[10]Div 012'!E47</f>
        <v>8399.9599999999991</v>
      </c>
      <c r="G28" s="782">
        <f>'[10]Div 012'!F47</f>
        <v>144.44999999999999</v>
      </c>
      <c r="H28" s="782">
        <f>'[10]Div 012'!G47</f>
        <v>4235.5200000000004</v>
      </c>
      <c r="I28" s="782">
        <f>'[10]Div 012'!H47</f>
        <v>1235.8900000000001</v>
      </c>
      <c r="J28" s="123">
        <f>VLOOKUP($B28,'[12]Div 12 forecast'!$D$163:$AF$239,9,FALSE)</f>
        <v>11.381380207247659</v>
      </c>
      <c r="K28" s="123">
        <f>VLOOKUP($B28,'[12]Div 12 forecast'!$D$163:$AF$239,10,FALSE)</f>
        <v>59.470274956789574</v>
      </c>
      <c r="L28" s="123">
        <f>VLOOKUP($B28,'[12]Div 12 forecast'!$D$163:$AF$239,11,FALSE)</f>
        <v>13.432079343688679</v>
      </c>
      <c r="M28" s="123">
        <f>VLOOKUP($B28,'[12]Div 12 forecast'!$D$163:$AF$239,12,FALSE)</f>
        <v>52.395362936068054</v>
      </c>
      <c r="N28" s="123">
        <f>VLOOKUP($B28,'[12]Div 12 forecast'!$D$163:$AF$239,13,FALSE)</f>
        <v>55.984086424839838</v>
      </c>
      <c r="O28" s="123">
        <f>VLOOKUP($B28,'[12]Div 12 forecast'!$D$163:$AF$239,14,FALSE)</f>
        <v>10.356030639027152</v>
      </c>
      <c r="P28" s="204">
        <f>SUM(D28:O28)</f>
        <v>20537.819214507661</v>
      </c>
      <c r="Q28" s="204"/>
    </row>
    <row r="29" spans="1:17">
      <c r="A29" s="325">
        <f t="shared" si="1"/>
        <v>18</v>
      </c>
      <c r="B29" s="204"/>
      <c r="C29" s="242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90"/>
      <c r="Q29" s="290"/>
    </row>
    <row r="30" spans="1:17" ht="15.75" thickBot="1">
      <c r="A30" s="325">
        <f t="shared" si="1"/>
        <v>19</v>
      </c>
      <c r="B30" s="290" t="s">
        <v>751</v>
      </c>
      <c r="C30" s="242"/>
      <c r="D30" s="864">
        <f>SUM(D12:D28)</f>
        <v>1.9999998708954081E-2</v>
      </c>
      <c r="E30" s="864">
        <f t="shared" ref="E30:P30" si="3">SUM(E12:E29)</f>
        <v>3.0000000367181201E-2</v>
      </c>
      <c r="F30" s="864">
        <f t="shared" si="3"/>
        <v>1.0000001297157723E-2</v>
      </c>
      <c r="G30" s="864">
        <f t="shared" si="3"/>
        <v>498.32000000092665</v>
      </c>
      <c r="H30" s="864">
        <f t="shared" si="3"/>
        <v>-498.39000000070155</v>
      </c>
      <c r="I30" s="864">
        <f t="shared" si="3"/>
        <v>-3.9999996587766873E-2</v>
      </c>
      <c r="J30" s="864">
        <f t="shared" si="3"/>
        <v>4.0056136185739888E-10</v>
      </c>
      <c r="K30" s="864">
        <f t="shared" si="3"/>
        <v>3.8743763752790983E-10</v>
      </c>
      <c r="L30" s="864">
        <f t="shared" si="3"/>
        <v>6.8689942622768285E-11</v>
      </c>
      <c r="M30" s="864">
        <f t="shared" si="3"/>
        <v>4.9553250391909387E-11</v>
      </c>
      <c r="N30" s="864">
        <f t="shared" si="3"/>
        <v>-4.3663561655193917E-10</v>
      </c>
      <c r="O30" s="864">
        <f t="shared" si="3"/>
        <v>2.0270185530080198E-10</v>
      </c>
      <c r="P30" s="292">
        <f t="shared" si="3"/>
        <v>-4.9999984024907462E-2</v>
      </c>
      <c r="Q30" s="293"/>
    </row>
    <row r="31" spans="1:17" ht="15.75" thickTop="1">
      <c r="A31" s="325">
        <f t="shared" si="1"/>
        <v>20</v>
      </c>
      <c r="B31" s="290"/>
      <c r="C31" s="242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0"/>
      <c r="Q31" s="290"/>
    </row>
    <row r="32" spans="1:17">
      <c r="A32" s="325">
        <f t="shared" si="1"/>
        <v>21</v>
      </c>
      <c r="B32" s="479">
        <f>B22</f>
        <v>9220</v>
      </c>
      <c r="C32" s="482" t="str">
        <f>C22</f>
        <v>A&amp;G-Administrative expense transferred-Credit</v>
      </c>
      <c r="D32" s="480">
        <f>D22</f>
        <v>-5012946.4200000009</v>
      </c>
      <c r="E32" s="480">
        <f t="shared" ref="E32:I32" si="4">E22</f>
        <v>-5016265.3699999992</v>
      </c>
      <c r="F32" s="480">
        <f t="shared" si="4"/>
        <v>-4967862.3299999991</v>
      </c>
      <c r="G32" s="480">
        <f t="shared" si="4"/>
        <v>-4893450.7599999988</v>
      </c>
      <c r="H32" s="480">
        <f t="shared" si="4"/>
        <v>-5310774.2</v>
      </c>
      <c r="I32" s="480">
        <f t="shared" si="4"/>
        <v>-4726287.3599999975</v>
      </c>
      <c r="J32" s="480">
        <f t="shared" ref="J32:K32" si="5">-(J30-J22)</f>
        <v>-4257402.8</v>
      </c>
      <c r="K32" s="480">
        <f t="shared" si="5"/>
        <v>-4290022.42</v>
      </c>
      <c r="L32" s="483">
        <f>L22</f>
        <v>-4100092.34</v>
      </c>
      <c r="M32" s="483">
        <f>M22</f>
        <v>-4469999</v>
      </c>
      <c r="N32" s="483">
        <f>N22</f>
        <v>-4111676.4000000004</v>
      </c>
      <c r="O32" s="483">
        <f>O22</f>
        <v>-4042121.9699999997</v>
      </c>
      <c r="P32" s="204">
        <f t="shared" ref="P32" si="6">SUM(D32:O32)</f>
        <v>-55198901.369999982</v>
      </c>
      <c r="Q32" s="290"/>
    </row>
    <row r="33" spans="1:17">
      <c r="A33" s="325">
        <f t="shared" si="1"/>
        <v>22</v>
      </c>
      <c r="B33" s="294"/>
      <c r="C33" s="481" t="s">
        <v>200</v>
      </c>
      <c r="D33" s="502">
        <f>D34/D32</f>
        <v>5.729041684032201E-2</v>
      </c>
      <c r="E33" s="502">
        <f t="shared" ref="E33:I33" si="7">E34/E32</f>
        <v>5.7295505480803553E-2</v>
      </c>
      <c r="F33" s="502">
        <f t="shared" si="7"/>
        <v>5.7427173107673465E-2</v>
      </c>
      <c r="G33" s="502">
        <f t="shared" si="7"/>
        <v>5.7290170832331025E-2</v>
      </c>
      <c r="H33" s="502">
        <f t="shared" si="7"/>
        <v>5.7398273494662984E-2</v>
      </c>
      <c r="I33" s="502">
        <f t="shared" si="7"/>
        <v>5.7270584579943981E-2</v>
      </c>
      <c r="J33" s="502">
        <f>Allocation!$I$15</f>
        <v>5.712253040952902E-2</v>
      </c>
      <c r="K33" s="502">
        <f>Allocation!$I$15</f>
        <v>5.712253040952902E-2</v>
      </c>
      <c r="L33" s="502">
        <f>Allocation!$I$15</f>
        <v>5.712253040952902E-2</v>
      </c>
      <c r="M33" s="502">
        <f>Allocation!$I$15</f>
        <v>5.712253040952902E-2</v>
      </c>
      <c r="N33" s="502">
        <f>Allocation!$I$15</f>
        <v>5.712253040952902E-2</v>
      </c>
      <c r="O33" s="502">
        <f>Allocation!$I$15</f>
        <v>5.712253040952902E-2</v>
      </c>
      <c r="P33" s="502">
        <f t="shared" ref="P33" si="8">P34/P32</f>
        <v>5.7234982167503064E-2</v>
      </c>
      <c r="Q33" s="290"/>
    </row>
    <row r="34" spans="1:17">
      <c r="A34" s="325">
        <f t="shared" si="1"/>
        <v>23</v>
      </c>
      <c r="B34" s="294"/>
      <c r="C34" s="294" t="s">
        <v>215</v>
      </c>
      <c r="D34" s="294">
        <f>-'[14]div 9 monthly 9220'!D$13</f>
        <v>-287193.78999999998</v>
      </c>
      <c r="E34" s="294">
        <f>-'[14]div 9 monthly 9220'!E$13</f>
        <v>-287409.46000000002</v>
      </c>
      <c r="F34" s="294">
        <f>-'[14]div 9 monthly 9220'!F$13</f>
        <v>-285290.28999999998</v>
      </c>
      <c r="G34" s="294">
        <f>-'[14]div 9 monthly 9220'!G$13</f>
        <v>-280346.63</v>
      </c>
      <c r="H34" s="294">
        <f>-'[14]div 9 monthly 9220'!H$13</f>
        <v>-304829.27</v>
      </c>
      <c r="I34" s="294">
        <f>-'[14]div 9 monthly 9220'!I$13</f>
        <v>-270677.24</v>
      </c>
      <c r="J34" s="294">
        <f t="shared" ref="J34:O34" si="9">J32*J33</f>
        <v>-243193.62090861399</v>
      </c>
      <c r="K34" s="294">
        <f t="shared" si="9"/>
        <v>-245056.93614401127</v>
      </c>
      <c r="L34" s="294">
        <f t="shared" si="9"/>
        <v>-234207.64937352698</v>
      </c>
      <c r="M34" s="294">
        <f t="shared" si="9"/>
        <v>-255337.65380806432</v>
      </c>
      <c r="N34" s="294">
        <f t="shared" si="9"/>
        <v>-234869.36019314281</v>
      </c>
      <c r="O34" s="294">
        <f t="shared" si="9"/>
        <v>-230896.23515035035</v>
      </c>
      <c r="P34" s="204">
        <f>SUM(D34:O34)</f>
        <v>-3159308.1355777094</v>
      </c>
      <c r="Q34" s="290"/>
    </row>
    <row r="35" spans="1:17">
      <c r="A35" s="325">
        <f t="shared" si="1"/>
        <v>24</v>
      </c>
      <c r="B35" s="290"/>
      <c r="C35" s="242"/>
      <c r="D35" s="290"/>
      <c r="E35" s="290"/>
      <c r="F35" s="290"/>
      <c r="G35" s="290"/>
      <c r="H35" s="290"/>
      <c r="I35" s="294"/>
      <c r="J35" s="294"/>
      <c r="K35" s="290"/>
      <c r="L35" s="290"/>
      <c r="M35" s="290"/>
      <c r="N35" s="290"/>
      <c r="O35" s="297"/>
      <c r="P35" s="249"/>
      <c r="Q35" s="290"/>
    </row>
    <row r="36" spans="1:17">
      <c r="A36" s="290"/>
      <c r="B36" s="290"/>
      <c r="C36" s="242"/>
      <c r="D36" s="290"/>
      <c r="E36" s="290"/>
      <c r="F36" s="290"/>
      <c r="G36" s="290"/>
      <c r="H36" s="290"/>
      <c r="I36" s="294"/>
      <c r="J36" s="294"/>
      <c r="K36" s="290"/>
      <c r="L36" s="290"/>
      <c r="M36" s="290"/>
      <c r="N36" s="290"/>
      <c r="O36" s="297"/>
      <c r="P36" s="296"/>
      <c r="Q36" s="290"/>
    </row>
    <row r="37" spans="1:17">
      <c r="A37" s="290"/>
      <c r="B37" s="290" t="s">
        <v>578</v>
      </c>
      <c r="C37" s="242"/>
      <c r="D37" s="293"/>
      <c r="E37" s="293"/>
      <c r="F37" s="293"/>
      <c r="G37" s="293"/>
      <c r="H37" s="293"/>
      <c r="I37" s="865"/>
      <c r="J37" s="294"/>
      <c r="K37" s="290"/>
      <c r="L37" s="290"/>
      <c r="M37" s="290"/>
      <c r="N37" s="290"/>
      <c r="O37" s="290"/>
      <c r="P37" s="293"/>
      <c r="Q37" s="290"/>
    </row>
    <row r="38" spans="1:17">
      <c r="A38" s="290"/>
      <c r="B38" s="290"/>
      <c r="C38" s="290"/>
      <c r="D38" s="296"/>
      <c r="E38" s="296"/>
      <c r="F38" s="296"/>
      <c r="G38" s="296"/>
      <c r="H38" s="296"/>
      <c r="I38" s="297"/>
      <c r="J38" s="294"/>
      <c r="K38" s="296"/>
      <c r="L38" s="296"/>
      <c r="M38" s="296"/>
      <c r="N38" s="296"/>
      <c r="O38" s="297"/>
      <c r="P38" s="296"/>
      <c r="Q38" s="296"/>
    </row>
    <row r="39" spans="1:17">
      <c r="A39" s="290"/>
      <c r="B39" s="290"/>
      <c r="C39" s="290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771"/>
      <c r="Q39" s="297"/>
    </row>
    <row r="40" spans="1:17">
      <c r="A40" s="290"/>
      <c r="B40" s="290" t="s">
        <v>972</v>
      </c>
      <c r="C40" s="290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6"/>
      <c r="Q40" s="296"/>
    </row>
    <row r="41" spans="1:17">
      <c r="A41" s="290"/>
      <c r="B41" s="290" t="s">
        <v>1624</v>
      </c>
      <c r="C41" s="290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960"/>
      <c r="Q41" s="290"/>
    </row>
    <row r="42" spans="1:17">
      <c r="A42" s="290"/>
      <c r="B42" s="1" t="s">
        <v>1397</v>
      </c>
      <c r="C42" s="290"/>
      <c r="D42" s="1008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0"/>
      <c r="Q42" s="290"/>
    </row>
    <row r="43" spans="1:17">
      <c r="A43" s="290"/>
      <c r="B43" s="290"/>
      <c r="C43" s="290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7"/>
      <c r="P43" s="296"/>
      <c r="Q43" s="290"/>
    </row>
    <row r="44" spans="1:17">
      <c r="A44" s="290"/>
      <c r="B44" s="290"/>
      <c r="C44" s="290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7"/>
      <c r="P44" s="296"/>
      <c r="Q44" s="290"/>
    </row>
    <row r="45" spans="1:17">
      <c r="A45" s="290"/>
      <c r="B45" s="290"/>
      <c r="C45" s="290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7"/>
      <c r="P45" s="296"/>
      <c r="Q45" s="290"/>
    </row>
    <row r="46" spans="1:17">
      <c r="A46" s="290"/>
      <c r="B46" s="290"/>
      <c r="C46" s="771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0"/>
      <c r="Q46" s="290"/>
    </row>
    <row r="47" spans="1:17">
      <c r="A47" s="290"/>
      <c r="B47" s="290"/>
      <c r="C47" s="290"/>
      <c r="D47" s="290"/>
      <c r="E47" s="290"/>
      <c r="F47" s="290"/>
      <c r="G47" s="290"/>
      <c r="H47" s="290"/>
      <c r="I47" s="294"/>
      <c r="J47" s="294"/>
      <c r="K47" s="294"/>
      <c r="L47" s="290"/>
      <c r="M47" s="290"/>
      <c r="N47" s="290"/>
      <c r="O47" s="294"/>
      <c r="P47" s="290"/>
      <c r="Q47" s="290"/>
    </row>
    <row r="48" spans="1:17">
      <c r="A48" s="290"/>
      <c r="B48" s="290"/>
      <c r="C48" s="290"/>
      <c r="D48" s="290"/>
      <c r="E48" s="290"/>
      <c r="F48" s="290"/>
      <c r="G48" s="290"/>
      <c r="H48" s="290"/>
      <c r="I48" s="294"/>
      <c r="J48" s="294"/>
      <c r="K48" s="294"/>
      <c r="L48" s="290"/>
      <c r="M48" s="290"/>
      <c r="N48" s="290"/>
      <c r="O48" s="294"/>
      <c r="P48" s="290"/>
      <c r="Q48" s="290"/>
    </row>
    <row r="49" spans="1:17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4"/>
      <c r="P49" s="290"/>
      <c r="Q49" s="290"/>
    </row>
    <row r="50" spans="1:17">
      <c r="A50" s="290"/>
    </row>
    <row r="51" spans="1:17">
      <c r="E51" s="1058"/>
      <c r="F51" s="1058"/>
      <c r="G51" s="1058"/>
      <c r="H51" s="1058"/>
      <c r="I51" s="1058"/>
      <c r="J51" s="1058"/>
      <c r="K51" s="1058"/>
    </row>
    <row r="52" spans="1:17">
      <c r="C52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2"/>
  <sheetViews>
    <sheetView view="pageBreakPreview" zoomScale="60" zoomScaleNormal="70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0.5546875" bestFit="1" customWidth="1"/>
    <col min="16" max="16" width="12.44140625" customWidth="1"/>
    <col min="17" max="17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  <c r="R2" s="1"/>
    </row>
    <row r="3" spans="1:18" ht="15.75">
      <c r="A3" s="1259" t="s">
        <v>195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</row>
    <row r="4" spans="1:18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60"/>
      <c r="R4" s="60"/>
    </row>
    <row r="5" spans="1:18">
      <c r="A5" s="1"/>
      <c r="B5" s="40"/>
      <c r="C5" s="40"/>
      <c r="D5" s="40"/>
      <c r="E5" s="40"/>
      <c r="F5" s="40"/>
      <c r="G5" s="275"/>
      <c r="H5" s="83"/>
      <c r="I5" s="83"/>
      <c r="J5" s="83"/>
      <c r="K5" s="83"/>
      <c r="L5" s="83"/>
      <c r="M5" s="83"/>
      <c r="N5" s="83"/>
      <c r="O5" s="83"/>
      <c r="P5" s="60"/>
      <c r="Q5" s="60"/>
      <c r="R5" s="60"/>
    </row>
    <row r="6" spans="1:18" ht="15.75">
      <c r="A6" s="247" t="str">
        <f>'C.2.2 B 09'!A6</f>
        <v>Data:___X____Base Period________Forecasted Period</v>
      </c>
      <c r="B6" s="277"/>
      <c r="C6" s="247"/>
      <c r="D6" s="60"/>
      <c r="E6" s="60"/>
      <c r="F6" s="914"/>
      <c r="G6" s="60"/>
      <c r="H6" s="60"/>
      <c r="I6" s="60"/>
      <c r="J6" s="60"/>
      <c r="K6" s="60"/>
      <c r="L6" s="60"/>
      <c r="M6" s="60"/>
      <c r="N6" s="60"/>
      <c r="O6" s="60"/>
      <c r="P6" s="665" t="s">
        <v>1524</v>
      </c>
      <c r="Q6" s="60"/>
      <c r="R6" s="60"/>
    </row>
    <row r="7" spans="1:18">
      <c r="A7" s="247" t="str">
        <f>'C.2.2 B 09'!A7</f>
        <v>Type of Filing:___X____Original________Updated ________Revised</v>
      </c>
      <c r="B7" s="277"/>
      <c r="C7" s="247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66" t="s">
        <v>38</v>
      </c>
      <c r="Q7" s="60"/>
      <c r="R7" s="60"/>
    </row>
    <row r="8" spans="1:18">
      <c r="A8" s="265" t="str">
        <f>'C.2.2 B 09'!A8</f>
        <v>Workpaper Reference No(s).____________________</v>
      </c>
      <c r="B8" s="397"/>
      <c r="C8" s="278"/>
      <c r="D8" s="262"/>
      <c r="E8" s="262"/>
      <c r="F8" s="262"/>
      <c r="G8" s="262"/>
      <c r="H8" s="262"/>
      <c r="I8" s="262"/>
      <c r="J8" s="262"/>
      <c r="K8" s="262"/>
      <c r="L8" s="262"/>
      <c r="M8" s="86"/>
      <c r="N8" s="397"/>
      <c r="O8" s="397"/>
      <c r="P8" s="667" t="str">
        <f>C.1!J9</f>
        <v>Witness: Waller, Smith</v>
      </c>
      <c r="Q8" s="60"/>
      <c r="R8" s="60"/>
    </row>
    <row r="9" spans="1:18">
      <c r="A9" s="668" t="s">
        <v>98</v>
      </c>
      <c r="B9" s="669" t="s">
        <v>105</v>
      </c>
      <c r="C9" s="670"/>
      <c r="D9" s="281" t="str">
        <f>'C.2.2 B 09'!D9</f>
        <v>actual</v>
      </c>
      <c r="E9" s="281" t="str">
        <f>'C.2.2 B 09'!F9</f>
        <v>actual</v>
      </c>
      <c r="F9" s="281" t="str">
        <f>'C.2.2 B 09'!F9</f>
        <v>actual</v>
      </c>
      <c r="G9" s="281" t="str">
        <f>'C.2.2 B 09'!G9</f>
        <v>actual</v>
      </c>
      <c r="H9" s="281" t="str">
        <f>'C.2.2 B 09'!H9</f>
        <v>actual</v>
      </c>
      <c r="I9" s="281" t="str">
        <f>'C.2.2 B 09'!I9</f>
        <v>actual</v>
      </c>
      <c r="J9" s="281" t="str">
        <f>'C.2.2 B 09'!J9</f>
        <v>Forecasted</v>
      </c>
      <c r="K9" s="281" t="str">
        <f>'C.2.2 B 09'!K9</f>
        <v>Budgeted</v>
      </c>
      <c r="L9" s="281" t="str">
        <f>'C.2.2 B 09'!L9</f>
        <v>Budgeted</v>
      </c>
      <c r="M9" s="281" t="str">
        <f>'C.2.2 B 09'!M9</f>
        <v>Budgeted</v>
      </c>
      <c r="N9" s="281" t="str">
        <f>'C.2.2 B 09'!N9</f>
        <v>Budgeted</v>
      </c>
      <c r="O9" s="281" t="str">
        <f>'C.2.2 B 09'!O9</f>
        <v>Budgeted</v>
      </c>
      <c r="P9" s="398"/>
      <c r="Q9" s="104"/>
      <c r="R9" s="104"/>
    </row>
    <row r="10" spans="1:18">
      <c r="A10" s="671" t="s">
        <v>104</v>
      </c>
      <c r="B10" s="300" t="s">
        <v>104</v>
      </c>
      <c r="C10" s="672" t="s">
        <v>971</v>
      </c>
      <c r="D10" s="283">
        <f>'C.2.2 B 09'!D10</f>
        <v>42094</v>
      </c>
      <c r="E10" s="283">
        <f>'C.2.2 B 09'!E10</f>
        <v>42095</v>
      </c>
      <c r="F10" s="283">
        <f>'C.2.2 B 09'!F10</f>
        <v>42155</v>
      </c>
      <c r="G10" s="283">
        <f>'C.2.2 B 09'!G10</f>
        <v>42185</v>
      </c>
      <c r="H10" s="283">
        <f>'C.2.2 B 09'!H10</f>
        <v>42216</v>
      </c>
      <c r="I10" s="283">
        <f>'C.2.2 B 09'!I10</f>
        <v>42247</v>
      </c>
      <c r="J10" s="283">
        <f>'C.2.2 B 09'!J10</f>
        <v>42277</v>
      </c>
      <c r="K10" s="283">
        <f>'C.2.2 B 09'!K10</f>
        <v>42308</v>
      </c>
      <c r="L10" s="283">
        <f>'C.2.2 B 09'!L10</f>
        <v>42338</v>
      </c>
      <c r="M10" s="283">
        <f>'C.2.2 B 09'!M10</f>
        <v>42369</v>
      </c>
      <c r="N10" s="283">
        <f>'C.2.2 B 09'!N10</f>
        <v>42400</v>
      </c>
      <c r="O10" s="283">
        <f>'C.2.2 B 09'!O10</f>
        <v>42429</v>
      </c>
      <c r="P10" s="283" t="str">
        <f>'C.2.2 B 09'!P10</f>
        <v>Total</v>
      </c>
      <c r="Q10" s="285"/>
      <c r="R10" s="104"/>
    </row>
    <row r="11" spans="1:18">
      <c r="A11" s="60"/>
      <c r="B11" s="60"/>
      <c r="C11" s="60"/>
      <c r="D11" s="260" t="s">
        <v>151</v>
      </c>
      <c r="E11" s="260" t="s">
        <v>151</v>
      </c>
      <c r="F11" s="260" t="s">
        <v>151</v>
      </c>
      <c r="G11" s="260" t="s">
        <v>151</v>
      </c>
      <c r="H11" s="260" t="s">
        <v>151</v>
      </c>
      <c r="I11" s="260" t="s">
        <v>151</v>
      </c>
      <c r="J11" s="260" t="s">
        <v>151</v>
      </c>
      <c r="K11" s="260" t="s">
        <v>151</v>
      </c>
      <c r="L11" s="260" t="s">
        <v>151</v>
      </c>
      <c r="M11" s="260" t="s">
        <v>151</v>
      </c>
      <c r="N11" s="260" t="s">
        <v>151</v>
      </c>
      <c r="O11" s="286" t="s">
        <v>151</v>
      </c>
      <c r="P11" s="260" t="s">
        <v>151</v>
      </c>
      <c r="Q11" s="260"/>
      <c r="R11" s="60"/>
    </row>
    <row r="12" spans="1:18" s="1058" customFormat="1">
      <c r="A12" s="60"/>
      <c r="B12" s="1110" t="s">
        <v>750</v>
      </c>
      <c r="C12" s="130" t="s">
        <v>741</v>
      </c>
      <c r="D12" s="782">
        <f>SUM('[10]Div 091'!C$59:C$60)</f>
        <v>2841005.8499999996</v>
      </c>
      <c r="E12" s="782">
        <f>SUM('[10]Div 091'!D$59:D$60)</f>
        <v>3329272.2600000002</v>
      </c>
      <c r="F12" s="782">
        <f>SUM('[10]Div 091'!E$59:E$60)</f>
        <v>89772.510000000009</v>
      </c>
      <c r="G12" s="782">
        <f>SUM('[10]Div 091'!F$59:F$60)</f>
        <v>-280720.73999999929</v>
      </c>
      <c r="H12" s="782">
        <f>SUM('[10]Div 091'!G$59:G$60)</f>
        <v>-545820.43999999994</v>
      </c>
      <c r="I12" s="782">
        <f>SUM('[10]Div 091'!H$59:H$60)</f>
        <v>612234.46</v>
      </c>
      <c r="J12" s="782"/>
      <c r="K12" s="123"/>
      <c r="L12" s="123"/>
      <c r="M12" s="123"/>
      <c r="N12" s="123"/>
      <c r="O12" s="123"/>
      <c r="P12" s="204">
        <f t="shared" ref="P12:P15" si="0">SUM(D12:O12)</f>
        <v>6045743.8999999994</v>
      </c>
      <c r="Q12" s="260"/>
      <c r="R12" s="60"/>
    </row>
    <row r="13" spans="1:18" s="1058" customFormat="1">
      <c r="A13" s="60"/>
      <c r="B13" s="60"/>
      <c r="C13" s="60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04">
        <f t="shared" si="0"/>
        <v>0</v>
      </c>
      <c r="Q13" s="260"/>
      <c r="R13" s="60"/>
    </row>
    <row r="14" spans="1:18">
      <c r="A14" s="104">
        <v>1</v>
      </c>
      <c r="B14" s="396">
        <v>4030</v>
      </c>
      <c r="C14" s="60" t="s">
        <v>96</v>
      </c>
      <c r="D14" s="782">
        <f>'[10]Div 091'!C54</f>
        <v>-3.637978807091713E-12</v>
      </c>
      <c r="E14" s="782">
        <f>'[10]Div 091'!D54</f>
        <v>-7.9580786405131221E-13</v>
      </c>
      <c r="F14" s="782">
        <f>'[10]Div 091'!E54</f>
        <v>1.4495071809506044E-12</v>
      </c>
      <c r="G14" s="782">
        <f>'[10]Div 091'!F54</f>
        <v>-1.0231815394945443E-12</v>
      </c>
      <c r="H14" s="782">
        <f>'[10]Div 091'!G54</f>
        <v>1.7053025658242404E-12</v>
      </c>
      <c r="I14" s="782">
        <f>'[10]Div 091'!H54</f>
        <v>2.2026824808563106E-13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204">
        <f t="shared" si="0"/>
        <v>-2.0818902157770935E-12</v>
      </c>
      <c r="Q14" s="771"/>
      <c r="R14" s="204"/>
    </row>
    <row r="15" spans="1:18">
      <c r="A15" s="104">
        <f>A14+1</f>
        <v>2</v>
      </c>
      <c r="B15" s="396" t="s">
        <v>1454</v>
      </c>
      <c r="C15" s="60" t="s">
        <v>879</v>
      </c>
      <c r="D15" s="782">
        <f>'[10]Div 091'!C55</f>
        <v>0</v>
      </c>
      <c r="E15" s="782">
        <f>'[10]Div 091'!D55</f>
        <v>0</v>
      </c>
      <c r="F15" s="782">
        <f>'[10]Div 091'!E55</f>
        <v>0</v>
      </c>
      <c r="G15" s="782">
        <f>'[10]Div 091'!F55</f>
        <v>0</v>
      </c>
      <c r="H15" s="782">
        <f>'[10]Div 091'!G55</f>
        <v>0</v>
      </c>
      <c r="I15" s="782">
        <f>'[10]Div 091'!H55</f>
        <v>0</v>
      </c>
      <c r="J15" s="123"/>
      <c r="K15" s="123"/>
      <c r="L15" s="123"/>
      <c r="M15" s="123"/>
      <c r="N15" s="123"/>
      <c r="O15" s="123"/>
      <c r="P15" s="204">
        <f t="shared" si="0"/>
        <v>0</v>
      </c>
      <c r="Q15" s="771"/>
      <c r="R15" s="204"/>
    </row>
    <row r="16" spans="1:18">
      <c r="A16" s="104">
        <f t="shared" ref="A16:A54" si="1">A15+1</f>
        <v>3</v>
      </c>
      <c r="B16" s="400">
        <v>4081</v>
      </c>
      <c r="C16" s="60" t="s">
        <v>880</v>
      </c>
      <c r="D16" s="782">
        <f>'[10]Div 091'!C58</f>
        <v>1.4551915228366852E-11</v>
      </c>
      <c r="E16" s="782">
        <f>'[10]Div 091'!D58</f>
        <v>2.000000000800356E-2</v>
      </c>
      <c r="F16" s="782">
        <f>'[10]Div 091'!E58</f>
        <v>9.9999999990814104E-3</v>
      </c>
      <c r="G16" s="782">
        <f>'[10]Div 091'!F58</f>
        <v>-9.9999999972624209E-3</v>
      </c>
      <c r="H16" s="782">
        <f>'[10]Div 091'!G58</f>
        <v>1.9099388737231493E-11</v>
      </c>
      <c r="I16" s="782">
        <f>'[10]Div 091'!H58</f>
        <v>-1.9999999989522621E-2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204">
        <f t="shared" ref="P16:P48" si="2">SUM(D16:O16)</f>
        <v>5.3951232370508251E-11</v>
      </c>
      <c r="Q16" s="204"/>
      <c r="R16" s="204"/>
    </row>
    <row r="17" spans="1:18">
      <c r="A17" s="104">
        <f t="shared" si="1"/>
        <v>4</v>
      </c>
      <c r="B17" s="400">
        <v>8170</v>
      </c>
      <c r="C17" s="60" t="s">
        <v>905</v>
      </c>
      <c r="D17" s="782">
        <f>'[10]Div 091'!C66</f>
        <v>41.25</v>
      </c>
      <c r="E17" s="782">
        <f>'[10]Div 091'!D66</f>
        <v>40.92</v>
      </c>
      <c r="F17" s="782">
        <f>'[10]Div 091'!E66</f>
        <v>38.36</v>
      </c>
      <c r="G17" s="782">
        <f>'[10]Div 091'!F66</f>
        <v>37.630000000000003</v>
      </c>
      <c r="H17" s="782">
        <f>'[10]Div 091'!G66</f>
        <v>41.48</v>
      </c>
      <c r="I17" s="782">
        <f>'[10]Div 091'!H66</f>
        <v>42.81</v>
      </c>
      <c r="J17" s="123">
        <f>VLOOKUP($B17,'[12]Div 91 forecast'!$D$247:$AF$326,9,FALSE)</f>
        <v>38.982137567098867</v>
      </c>
      <c r="K17" s="123">
        <f>VLOOKUP($B17,'[12]Div 91 forecast'!$D$247:$AF$326,10,FALSE)</f>
        <v>40.632852957823019</v>
      </c>
      <c r="L17" s="123">
        <f>VLOOKUP($B17,'[12]Div 91 forecast'!$D$247:$AF$326,11,FALSE)</f>
        <v>41.089256801354722</v>
      </c>
      <c r="M17" s="123">
        <f>VLOOKUP($B17,'[12]Div 91 forecast'!$D$247:$AF$326,12,FALSE)</f>
        <v>44.444441813263438</v>
      </c>
      <c r="N17" s="123">
        <f>VLOOKUP($B17,'[12]Div 91 forecast'!$D$247:$AF$326,13,FALSE)</f>
        <v>47.069106559098891</v>
      </c>
      <c r="O17" s="123">
        <f>VLOOKUP($B17,'[12]Div 91 forecast'!$D$247:$AF$326,14,FALSE)</f>
        <v>48.143642935461813</v>
      </c>
      <c r="P17" s="204">
        <f t="shared" si="2"/>
        <v>502.81143863410074</v>
      </c>
      <c r="Q17" s="204"/>
      <c r="R17" s="204"/>
    </row>
    <row r="18" spans="1:18">
      <c r="A18" s="104">
        <f t="shared" si="1"/>
        <v>5</v>
      </c>
      <c r="B18" s="400">
        <v>8180</v>
      </c>
      <c r="C18" s="60" t="s">
        <v>906</v>
      </c>
      <c r="D18" s="782">
        <f>'[10]Div 091'!C67</f>
        <v>43.100000000000023</v>
      </c>
      <c r="E18" s="782">
        <f>'[10]Div 091'!D67</f>
        <v>42.759999999999991</v>
      </c>
      <c r="F18" s="782">
        <f>'[10]Div 091'!E67</f>
        <v>40.080000000000013</v>
      </c>
      <c r="G18" s="782">
        <f>'[10]Div 091'!F67</f>
        <v>39.319999999999965</v>
      </c>
      <c r="H18" s="782">
        <f>'[10]Div 091'!G67</f>
        <v>43.349999999999994</v>
      </c>
      <c r="I18" s="782">
        <f>'[10]Div 091'!H67</f>
        <v>30.579999999999984</v>
      </c>
      <c r="J18" s="123">
        <f>VLOOKUP($B18,'[12]Div 91 forecast'!$D$247:$AF$326,9,FALSE)</f>
        <v>38.457980963804403</v>
      </c>
      <c r="K18" s="123">
        <f>VLOOKUP($B18,'[12]Div 91 forecast'!$D$247:$AF$326,10,FALSE)</f>
        <v>40.086500717598199</v>
      </c>
      <c r="L18" s="123">
        <f>VLOOKUP($B18,'[12]Div 91 forecast'!$D$247:$AF$326,11,FALSE)</f>
        <v>40.53676772248312</v>
      </c>
      <c r="M18" s="123">
        <f>VLOOKUP($B18,'[12]Div 91 forecast'!$D$247:$AF$326,12,FALSE)</f>
        <v>43.846838677312746</v>
      </c>
      <c r="N18" s="123">
        <f>VLOOKUP($B18,'[12]Div 91 forecast'!$D$247:$AF$326,13,FALSE)</f>
        <v>46.43621199369295</v>
      </c>
      <c r="O18" s="123">
        <f>VLOOKUP($B18,'[12]Div 91 forecast'!$D$247:$AF$326,14,FALSE)</f>
        <v>47.496300077265801</v>
      </c>
      <c r="P18" s="204">
        <f t="shared" si="2"/>
        <v>496.05060015215719</v>
      </c>
      <c r="Q18" s="204"/>
      <c r="R18" s="204"/>
    </row>
    <row r="19" spans="1:18">
      <c r="A19" s="104">
        <f t="shared" si="1"/>
        <v>6</v>
      </c>
      <c r="B19" s="400">
        <v>8190</v>
      </c>
      <c r="C19" s="60" t="s">
        <v>907</v>
      </c>
      <c r="D19" s="782">
        <f>'[10]Div 091'!C68</f>
        <v>880.41</v>
      </c>
      <c r="E19" s="782">
        <f>'[10]Div 091'!D68</f>
        <v>553.48</v>
      </c>
      <c r="F19" s="782">
        <f>'[10]Div 091'!E68</f>
        <v>1520.59</v>
      </c>
      <c r="G19" s="782">
        <f>'[10]Div 091'!F68</f>
        <v>4.5</v>
      </c>
      <c r="H19" s="782">
        <f>'[10]Div 091'!G68</f>
        <v>0</v>
      </c>
      <c r="I19" s="782">
        <f>'[10]Div 091'!H68</f>
        <v>5.48</v>
      </c>
      <c r="J19" s="123">
        <f>VLOOKUP($B19,'[12]Div 91 forecast'!$D$247:$AF$326,9,FALSE)</f>
        <v>476.63843073690202</v>
      </c>
      <c r="K19" s="123">
        <f>VLOOKUP($B19,'[12]Div 91 forecast'!$D$247:$AF$326,10,FALSE)</f>
        <v>496.82189020147672</v>
      </c>
      <c r="L19" s="123">
        <f>VLOOKUP($B19,'[12]Div 91 forecast'!$D$247:$AF$326,11,FALSE)</f>
        <v>502.40238489314919</v>
      </c>
      <c r="M19" s="123">
        <f>VLOOKUP($B19,'[12]Div 91 forecast'!$D$247:$AF$326,12,FALSE)</f>
        <v>543.42656208598441</v>
      </c>
      <c r="N19" s="123">
        <f>VLOOKUP($B19,'[12]Div 91 forecast'!$D$247:$AF$326,13,FALSE)</f>
        <v>575.51859612368037</v>
      </c>
      <c r="O19" s="123">
        <f>VLOOKUP($B19,'[12]Div 91 forecast'!$D$247:$AF$326,14,FALSE)</f>
        <v>588.65705810047075</v>
      </c>
      <c r="P19" s="204">
        <f t="shared" si="2"/>
        <v>6147.924922141663</v>
      </c>
      <c r="Q19" s="204"/>
      <c r="R19" s="204"/>
    </row>
    <row r="20" spans="1:18">
      <c r="A20" s="104">
        <f t="shared" si="1"/>
        <v>7</v>
      </c>
      <c r="B20" s="400">
        <v>8210</v>
      </c>
      <c r="C20" s="60" t="s">
        <v>909</v>
      </c>
      <c r="D20" s="782">
        <f>'[10]Div 091'!C69</f>
        <v>778.32999999999993</v>
      </c>
      <c r="E20" s="782">
        <f>'[10]Div 091'!D69</f>
        <v>213.39999999999998</v>
      </c>
      <c r="F20" s="782">
        <f>'[10]Div 091'!E69</f>
        <v>119.17999999999999</v>
      </c>
      <c r="G20" s="782">
        <f>'[10]Div 091'!F69</f>
        <v>151.1</v>
      </c>
      <c r="H20" s="782">
        <f>'[10]Div 091'!G69</f>
        <v>139.33000000000001</v>
      </c>
      <c r="I20" s="782">
        <f>'[10]Div 091'!H69</f>
        <v>15.97</v>
      </c>
      <c r="J20" s="123">
        <f>VLOOKUP($B20,'[12]Div 91 forecast'!$D$247:$AF$326,9,FALSE)</f>
        <v>227.88110288812078</v>
      </c>
      <c r="K20" s="123">
        <f>VLOOKUP($B20,'[12]Div 91 forecast'!$D$247:$AF$326,10,FALSE)</f>
        <v>237.53082625552543</v>
      </c>
      <c r="L20" s="123">
        <f>VLOOKUP($B20,'[12]Div 91 forecast'!$D$247:$AF$326,11,FALSE)</f>
        <v>240.19886391886183</v>
      </c>
      <c r="M20" s="123">
        <f>VLOOKUP($B20,'[12]Div 91 forecast'!$D$247:$AF$326,12,FALSE)</f>
        <v>259.81254620068631</v>
      </c>
      <c r="N20" s="123">
        <f>VLOOKUP($B20,'[12]Div 91 forecast'!$D$247:$AF$326,13,FALSE)</f>
        <v>275.15576579614947</v>
      </c>
      <c r="O20" s="123">
        <f>VLOOKUP($B20,'[12]Div 91 forecast'!$D$247:$AF$326,14,FALSE)</f>
        <v>281.43727188640696</v>
      </c>
      <c r="P20" s="204">
        <f t="shared" si="2"/>
        <v>2939.3263769457503</v>
      </c>
      <c r="Q20" s="204"/>
      <c r="R20" s="204"/>
    </row>
    <row r="21" spans="1:18">
      <c r="A21" s="104">
        <f t="shared" si="1"/>
        <v>8</v>
      </c>
      <c r="B21" s="400">
        <v>8240</v>
      </c>
      <c r="C21" s="60" t="s">
        <v>910</v>
      </c>
      <c r="D21" s="782">
        <f>'[10]Div 091'!C70</f>
        <v>58.33</v>
      </c>
      <c r="E21" s="782">
        <f>'[10]Div 091'!D70</f>
        <v>39.68</v>
      </c>
      <c r="F21" s="782">
        <f>'[10]Div 091'!E70</f>
        <v>15.11</v>
      </c>
      <c r="G21" s="782">
        <f>'[10]Div 091'!F70</f>
        <v>4.7699999999999996</v>
      </c>
      <c r="H21" s="782">
        <f>'[10]Div 091'!G70</f>
        <v>0</v>
      </c>
      <c r="I21" s="782">
        <f>'[10]Div 091'!H70</f>
        <v>0</v>
      </c>
      <c r="J21" s="123">
        <f>VLOOKUP($B21,'[12]Div 91 forecast'!$D$247:$AF$326,9,FALSE)</f>
        <v>18.954853362694514</v>
      </c>
      <c r="K21" s="123">
        <f>VLOOKUP($B21,'[12]Div 91 forecast'!$D$247:$AF$326,10,FALSE)</f>
        <v>19.757504785307304</v>
      </c>
      <c r="L21" s="123">
        <f>VLOOKUP($B21,'[12]Div 91 forecast'!$D$247:$AF$326,11,FALSE)</f>
        <v>19.979428683488173</v>
      </c>
      <c r="M21" s="123">
        <f>VLOOKUP($B21,'[12]Div 91 forecast'!$D$247:$AF$326,12,FALSE)</f>
        <v>21.610869232277278</v>
      </c>
      <c r="N21" s="123">
        <f>VLOOKUP($B21,'[12]Div 91 forecast'!$D$247:$AF$326,13,FALSE)</f>
        <v>22.887098256350455</v>
      </c>
      <c r="O21" s="123">
        <f>VLOOKUP($B21,'[12]Div 91 forecast'!$D$247:$AF$326,14,FALSE)</f>
        <v>23.409585752367878</v>
      </c>
      <c r="P21" s="204">
        <f t="shared" si="2"/>
        <v>244.48934007248562</v>
      </c>
      <c r="Q21" s="204"/>
      <c r="R21" s="204"/>
    </row>
    <row r="22" spans="1:18">
      <c r="A22" s="104">
        <f t="shared" si="1"/>
        <v>9</v>
      </c>
      <c r="B22" s="400">
        <v>8250</v>
      </c>
      <c r="C22" s="60" t="s">
        <v>922</v>
      </c>
      <c r="D22" s="782">
        <f>'[10]Div 091'!C71</f>
        <v>2558.46</v>
      </c>
      <c r="E22" s="782">
        <f>'[10]Div 091'!D71</f>
        <v>3774.05</v>
      </c>
      <c r="F22" s="782">
        <f>'[10]Div 091'!E71</f>
        <v>2399.5500000000002</v>
      </c>
      <c r="G22" s="782">
        <f>'[10]Div 091'!F71</f>
        <v>1008.2900000000001</v>
      </c>
      <c r="H22" s="782">
        <f>'[10]Div 091'!G71</f>
        <v>289.12</v>
      </c>
      <c r="I22" s="782">
        <f>'[10]Div 091'!H71</f>
        <v>544.21</v>
      </c>
      <c r="J22" s="123">
        <f>VLOOKUP($B22,'[12]Div 91 forecast'!$D$247:$AF$326,9,FALSE)</f>
        <v>1700.0810408351495</v>
      </c>
      <c r="K22" s="123">
        <f>VLOOKUP($B22,'[12]Div 91 forecast'!$D$247:$AF$326,10,FALSE)</f>
        <v>1772.0717041166185</v>
      </c>
      <c r="L22" s="123">
        <f>VLOOKUP($B22,'[12]Div 91 forecast'!$D$247:$AF$326,11,FALSE)</f>
        <v>1791.9762955469105</v>
      </c>
      <c r="M22" s="123">
        <f>VLOOKUP($B22,'[12]Div 91 forecast'!$D$247:$AF$326,12,FALSE)</f>
        <v>1938.3019406560832</v>
      </c>
      <c r="N22" s="123">
        <f>VLOOKUP($B22,'[12]Div 91 forecast'!$D$247:$AF$326,13,FALSE)</f>
        <v>2052.7682847672213</v>
      </c>
      <c r="O22" s="123">
        <f>VLOOKUP($B22,'[12]Div 91 forecast'!$D$247:$AF$326,14,FALSE)</f>
        <v>2099.6307462727736</v>
      </c>
      <c r="P22" s="204">
        <f t="shared" si="2"/>
        <v>21928.510012194762</v>
      </c>
      <c r="Q22" s="204"/>
      <c r="R22" s="204"/>
    </row>
    <row r="23" spans="1:18">
      <c r="A23" s="104">
        <f t="shared" si="1"/>
        <v>10</v>
      </c>
      <c r="B23" s="400">
        <v>8560</v>
      </c>
      <c r="C23" s="60" t="s">
        <v>928</v>
      </c>
      <c r="D23" s="782">
        <f>'[10]Div 091'!C72</f>
        <v>615.09999999999991</v>
      </c>
      <c r="E23" s="782">
        <f>'[10]Div 091'!D72</f>
        <v>54.980000000000018</v>
      </c>
      <c r="F23" s="782">
        <f>'[10]Div 091'!E72</f>
        <v>51.529999999999973</v>
      </c>
      <c r="G23" s="782">
        <f>'[10]Div 091'!F72</f>
        <v>50.56</v>
      </c>
      <c r="H23" s="782">
        <f>'[10]Div 091'!G72</f>
        <v>55.729999999999961</v>
      </c>
      <c r="I23" s="782">
        <f>'[10]Div 091'!H72</f>
        <v>125.81</v>
      </c>
      <c r="J23" s="123">
        <f>VLOOKUP($B23,'[12]Div 91 forecast'!$D$247:$AF$326,9,FALSE)</f>
        <v>186.6020142957847</v>
      </c>
      <c r="K23" s="123">
        <f>VLOOKUP($B23,'[12]Div 91 forecast'!$D$247:$AF$326,10,FALSE)</f>
        <v>178.03136367119168</v>
      </c>
      <c r="L23" s="123">
        <f>VLOOKUP($B23,'[12]Div 91 forecast'!$D$247:$AF$326,11,FALSE)</f>
        <v>193.665517757609</v>
      </c>
      <c r="M23" s="123">
        <f>VLOOKUP($B23,'[12]Div 91 forecast'!$D$247:$AF$326,12,FALSE)</f>
        <v>193.23683912238252</v>
      </c>
      <c r="N23" s="123">
        <f>VLOOKUP($B23,'[12]Div 91 forecast'!$D$247:$AF$326,13,FALSE)</f>
        <v>202.36081226440996</v>
      </c>
      <c r="O23" s="123">
        <f>VLOOKUP($B23,'[12]Div 91 forecast'!$D$247:$AF$326,14,FALSE)</f>
        <v>189.55526525305982</v>
      </c>
      <c r="P23" s="204">
        <f t="shared" si="2"/>
        <v>2097.1618123644375</v>
      </c>
      <c r="Q23" s="204"/>
      <c r="R23" s="204"/>
    </row>
    <row r="24" spans="1:18">
      <c r="A24" s="104">
        <f t="shared" si="1"/>
        <v>11</v>
      </c>
      <c r="B24" s="400">
        <v>8570</v>
      </c>
      <c r="C24" s="60" t="s">
        <v>929</v>
      </c>
      <c r="D24" s="782">
        <f>'[10]Div 091'!C73</f>
        <v>82.49</v>
      </c>
      <c r="E24" s="782">
        <f>'[10]Div 091'!D73</f>
        <v>81.84</v>
      </c>
      <c r="F24" s="782">
        <f>'[10]Div 091'!E73</f>
        <v>76.709999999999994</v>
      </c>
      <c r="G24" s="782">
        <f>'[10]Div 091'!F73</f>
        <v>75.260000000000005</v>
      </c>
      <c r="H24" s="782">
        <f>'[10]Div 091'!G73</f>
        <v>82.96</v>
      </c>
      <c r="I24" s="782">
        <f>'[10]Div 091'!H73</f>
        <v>85.63</v>
      </c>
      <c r="J24" s="123">
        <f>VLOOKUP($B24,'[12]Div 91 forecast'!$D$247:$AF$326,9,FALSE)</f>
        <v>77.96266729185632</v>
      </c>
      <c r="K24" s="123">
        <f>VLOOKUP($B24,'[12]Div 91 forecast'!$D$247:$AF$326,10,FALSE)</f>
        <v>81.264029988528776</v>
      </c>
      <c r="L24" s="123">
        <f>VLOOKUP($B24,'[12]Div 91 forecast'!$D$247:$AF$326,11,FALSE)</f>
        <v>82.176818850933742</v>
      </c>
      <c r="M24" s="123">
        <f>VLOOKUP($B24,'[12]Div 91 forecast'!$D$247:$AF$326,12,FALSE)</f>
        <v>88.887050488073015</v>
      </c>
      <c r="N24" s="123">
        <f>VLOOKUP($B24,'[12]Div 91 forecast'!$D$247:$AF$326,13,FALSE)</f>
        <v>94.136271723825345</v>
      </c>
      <c r="O24" s="123">
        <f>VLOOKUP($B24,'[12]Div 91 forecast'!$D$247:$AF$326,14,FALSE)</f>
        <v>96.285300156634662</v>
      </c>
      <c r="P24" s="204">
        <f t="shared" si="2"/>
        <v>1005.6021384998518</v>
      </c>
      <c r="Q24" s="204"/>
      <c r="R24" s="288"/>
    </row>
    <row r="25" spans="1:18" s="1058" customFormat="1">
      <c r="A25" s="104">
        <f t="shared" si="1"/>
        <v>12</v>
      </c>
      <c r="B25" s="400">
        <v>8650</v>
      </c>
      <c r="C25" s="1076" t="s">
        <v>1494</v>
      </c>
      <c r="D25" s="782">
        <f>'[10]Div 091'!C74</f>
        <v>0</v>
      </c>
      <c r="E25" s="782">
        <f>'[10]Div 091'!D74</f>
        <v>0</v>
      </c>
      <c r="F25" s="782">
        <f>'[10]Div 091'!E74</f>
        <v>0</v>
      </c>
      <c r="G25" s="782">
        <f>'[10]Div 091'!F74</f>
        <v>0</v>
      </c>
      <c r="H25" s="782">
        <f>'[10]Div 091'!G74</f>
        <v>0</v>
      </c>
      <c r="I25" s="782">
        <f>'[10]Div 091'!H74</f>
        <v>15.5</v>
      </c>
      <c r="J25" s="123">
        <f>VLOOKUP($B25,'[12]Div 91 forecast'!$D$247:$AF$326,9,FALSE)</f>
        <v>3.7732903974057486</v>
      </c>
      <c r="K25" s="123">
        <f>VLOOKUP($B25,'[12]Div 91 forecast'!$D$247:$AF$326,10,FALSE)</f>
        <v>2.2271475890565529</v>
      </c>
      <c r="L25" s="123">
        <f>VLOOKUP($B25,'[12]Div 91 forecast'!$D$247:$AF$326,11,FALSE)</f>
        <v>5.8506048296608864</v>
      </c>
      <c r="M25" s="123">
        <f>VLOOKUP($B25,'[12]Div 91 forecast'!$D$247:$AF$326,12,FALSE)</f>
        <v>3.1597896998298647</v>
      </c>
      <c r="N25" s="123">
        <f>VLOOKUP($B25,'[12]Div 91 forecast'!$D$247:$AF$326,13,FALSE)</f>
        <v>6.0495593765710938</v>
      </c>
      <c r="O25" s="123">
        <f>VLOOKUP($B25,'[12]Div 91 forecast'!$D$247:$AF$326,14,FALSE)</f>
        <v>3.5106920959932033</v>
      </c>
      <c r="P25" s="204">
        <f t="shared" si="2"/>
        <v>40.071083988517358</v>
      </c>
      <c r="Q25" s="204"/>
      <c r="R25" s="288"/>
    </row>
    <row r="26" spans="1:18">
      <c r="A26" s="104">
        <f t="shared" si="1"/>
        <v>13</v>
      </c>
      <c r="B26" s="400">
        <v>8700</v>
      </c>
      <c r="C26" s="60" t="s">
        <v>932</v>
      </c>
      <c r="D26" s="782">
        <f>'[10]Div 091'!C75</f>
        <v>275478.31000000006</v>
      </c>
      <c r="E26" s="782">
        <f>'[10]Div 091'!D75</f>
        <v>270493.21999999997</v>
      </c>
      <c r="F26" s="782">
        <f>'[10]Div 091'!E75</f>
        <v>291757.97999999969</v>
      </c>
      <c r="G26" s="782">
        <f>'[10]Div 091'!F75</f>
        <v>254036.04999999987</v>
      </c>
      <c r="H26" s="782">
        <f>'[10]Div 091'!G75</f>
        <v>320551.94000000024</v>
      </c>
      <c r="I26" s="782">
        <f>'[10]Div 091'!H75</f>
        <v>247207.14000000016</v>
      </c>
      <c r="J26" s="123">
        <f>VLOOKUP($B26,'[12]Div 91 forecast'!$D$247:$AF$326,9,FALSE)</f>
        <v>406080.52724166895</v>
      </c>
      <c r="K26" s="123">
        <f>VLOOKUP($B26,'[12]Div 91 forecast'!$D$247:$AF$326,10,FALSE)</f>
        <v>346617.30142905965</v>
      </c>
      <c r="L26" s="123">
        <f>VLOOKUP($B26,'[12]Div 91 forecast'!$D$247:$AF$326,11,FALSE)</f>
        <v>405652.82422056032</v>
      </c>
      <c r="M26" s="123">
        <f>VLOOKUP($B26,'[12]Div 91 forecast'!$D$247:$AF$326,12,FALSE)</f>
        <v>378850.93050992128</v>
      </c>
      <c r="N26" s="123">
        <f>VLOOKUP($B26,'[12]Div 91 forecast'!$D$247:$AF$326,13,FALSE)</f>
        <v>401050.26015284751</v>
      </c>
      <c r="O26" s="123">
        <f>VLOOKUP($B26,'[12]Div 91 forecast'!$D$247:$AF$326,14,FALSE)</f>
        <v>405791.55289602425</v>
      </c>
      <c r="P26" s="204">
        <f t="shared" si="2"/>
        <v>4003568.036450082</v>
      </c>
      <c r="Q26" s="204"/>
      <c r="R26" s="288"/>
    </row>
    <row r="27" spans="1:18">
      <c r="A27" s="104">
        <f t="shared" si="1"/>
        <v>14</v>
      </c>
      <c r="B27" s="400">
        <v>8711</v>
      </c>
      <c r="C27" s="60" t="s">
        <v>194</v>
      </c>
      <c r="D27" s="782">
        <f>'[10]Div 091'!C76</f>
        <v>7997.85</v>
      </c>
      <c r="E27" s="782">
        <f>'[10]Div 091'!D76</f>
        <v>16844.57</v>
      </c>
      <c r="F27" s="782">
        <f>'[10]Div 091'!E76</f>
        <v>0</v>
      </c>
      <c r="G27" s="782">
        <f>'[10]Div 091'!F76</f>
        <v>156.66999999999999</v>
      </c>
      <c r="H27" s="782">
        <f>'[10]Div 091'!G76</f>
        <v>0</v>
      </c>
      <c r="I27" s="782">
        <f>'[10]Div 091'!H76</f>
        <v>4309.78</v>
      </c>
      <c r="J27" s="123">
        <f>VLOOKUP($B27,'[12]Div 91 forecast'!$D$247:$AF$326,9,FALSE)</f>
        <v>7134.895337407318</v>
      </c>
      <c r="K27" s="123">
        <f>VLOOKUP($B27,'[12]Div 91 forecast'!$D$247:$AF$326,10,FALSE)</f>
        <v>4211.3018811917382</v>
      </c>
      <c r="L27" s="123">
        <f>VLOOKUP($B27,'[12]Div 91 forecast'!$D$247:$AF$326,11,FALSE)</f>
        <v>11062.878475735681</v>
      </c>
      <c r="M27" s="123">
        <f>VLOOKUP($B27,'[12]Div 91 forecast'!$D$247:$AF$326,12,FALSE)</f>
        <v>5974.830034816292</v>
      </c>
      <c r="N27" s="123">
        <f>VLOOKUP($B27,'[12]Div 91 forecast'!$D$247:$AF$326,13,FALSE)</f>
        <v>11439.080601626016</v>
      </c>
      <c r="O27" s="123">
        <f>VLOOKUP($B27,'[12]Div 91 forecast'!$D$247:$AF$326,14,FALSE)</f>
        <v>6638.3495646124074</v>
      </c>
      <c r="P27" s="204">
        <f t="shared" si="2"/>
        <v>75770.205895389445</v>
      </c>
      <c r="Q27" s="204"/>
      <c r="R27" s="288"/>
    </row>
    <row r="28" spans="1:18">
      <c r="A28" s="104">
        <f t="shared" si="1"/>
        <v>15</v>
      </c>
      <c r="B28" s="400">
        <v>8740</v>
      </c>
      <c r="C28" s="60" t="s">
        <v>934</v>
      </c>
      <c r="D28" s="782">
        <f>'[10]Div 091'!C77</f>
        <v>7666.4500000000007</v>
      </c>
      <c r="E28" s="782">
        <f>'[10]Div 091'!D77</f>
        <v>12004.859999999999</v>
      </c>
      <c r="F28" s="782">
        <f>'[10]Div 091'!E77</f>
        <v>4450.4000000000005</v>
      </c>
      <c r="G28" s="782">
        <f>'[10]Div 091'!F77</f>
        <v>5701.5299999999979</v>
      </c>
      <c r="H28" s="782">
        <f>'[10]Div 091'!G77</f>
        <v>11810.709999999997</v>
      </c>
      <c r="I28" s="782">
        <f>'[10]Div 091'!H77</f>
        <v>9252.1499999999978</v>
      </c>
      <c r="J28" s="123">
        <f>VLOOKUP($B28,'[12]Div 91 forecast'!$D$247:$AF$326,9,FALSE)</f>
        <v>622.16978309193507</v>
      </c>
      <c r="K28" s="123">
        <f>VLOOKUP($B28,'[12]Div 91 forecast'!$D$247:$AF$326,10,FALSE)</f>
        <v>186.08280391789407</v>
      </c>
      <c r="L28" s="123">
        <f>VLOOKUP($B28,'[12]Div 91 forecast'!$D$247:$AF$326,11,FALSE)</f>
        <v>506.69603624273037</v>
      </c>
      <c r="M28" s="123">
        <f>VLOOKUP($B28,'[12]Div 91 forecast'!$D$247:$AF$326,12,FALSE)</f>
        <v>141.3501852521016</v>
      </c>
      <c r="N28" s="123">
        <f>VLOOKUP($B28,'[12]Div 91 forecast'!$D$247:$AF$326,13,FALSE)</f>
        <v>1758.2683722417257</v>
      </c>
      <c r="O28" s="123">
        <f>VLOOKUP($B28,'[12]Div 91 forecast'!$D$247:$AF$326,14,FALSE)</f>
        <v>452.12725049548129</v>
      </c>
      <c r="P28" s="204">
        <f t="shared" si="2"/>
        <v>54552.794431241862</v>
      </c>
      <c r="Q28" s="204"/>
      <c r="R28" s="288"/>
    </row>
    <row r="29" spans="1:18">
      <c r="A29" s="104">
        <f t="shared" si="1"/>
        <v>16</v>
      </c>
      <c r="B29" s="400">
        <v>8750</v>
      </c>
      <c r="C29" s="60" t="s">
        <v>935</v>
      </c>
      <c r="D29" s="782">
        <f>'[10]Div 091'!C78</f>
        <v>270.56</v>
      </c>
      <c r="E29" s="782">
        <f>'[10]Div 091'!D78</f>
        <v>517</v>
      </c>
      <c r="F29" s="782">
        <f>'[10]Div 091'!E78</f>
        <v>1497.26</v>
      </c>
      <c r="G29" s="782">
        <f>'[10]Div 091'!F78</f>
        <v>2584.36</v>
      </c>
      <c r="H29" s="782">
        <f>'[10]Div 091'!G78</f>
        <v>292.10000000000002</v>
      </c>
      <c r="I29" s="782">
        <f>'[10]Div 091'!H78</f>
        <v>6783.24</v>
      </c>
      <c r="J29" s="123">
        <f>VLOOKUP($B29,'[12]Div 91 forecast'!$D$247:$AF$326,9,FALSE)</f>
        <v>11519.457437557836</v>
      </c>
      <c r="K29" s="123">
        <f>VLOOKUP($B29,'[12]Div 91 forecast'!$D$247:$AF$326,10,FALSE)</f>
        <v>10343.893971034831</v>
      </c>
      <c r="L29" s="123">
        <f>VLOOKUP($B29,'[12]Div 91 forecast'!$D$247:$AF$326,11,FALSE)</f>
        <v>12955.74727096441</v>
      </c>
      <c r="M29" s="123">
        <f>VLOOKUP($B29,'[12]Div 91 forecast'!$D$247:$AF$326,12,FALSE)</f>
        <v>10927.545929181664</v>
      </c>
      <c r="N29" s="123">
        <f>VLOOKUP($B29,'[12]Div 91 forecast'!$D$247:$AF$326,13,FALSE)</f>
        <v>13162.272750333235</v>
      </c>
      <c r="O29" s="123">
        <f>VLOOKUP($B29,'[12]Div 91 forecast'!$D$247:$AF$326,14,FALSE)</f>
        <v>10985.741271633295</v>
      </c>
      <c r="P29" s="204">
        <f t="shared" si="2"/>
        <v>81839.178630705268</v>
      </c>
      <c r="Q29" s="204"/>
      <c r="R29" s="288"/>
    </row>
    <row r="30" spans="1:18">
      <c r="A30" s="104">
        <f t="shared" si="1"/>
        <v>17</v>
      </c>
      <c r="B30" s="400">
        <v>8760</v>
      </c>
      <c r="C30" t="s">
        <v>936</v>
      </c>
      <c r="D30" s="782">
        <f>'[10]Div 091'!C79</f>
        <v>0</v>
      </c>
      <c r="E30" s="782">
        <f>'[10]Div 091'!D79</f>
        <v>0</v>
      </c>
      <c r="F30" s="782">
        <f>'[10]Div 091'!E79</f>
        <v>0</v>
      </c>
      <c r="G30" s="782">
        <f>'[10]Div 091'!F79</f>
        <v>720</v>
      </c>
      <c r="H30" s="782">
        <f>'[10]Div 091'!G79</f>
        <v>0</v>
      </c>
      <c r="I30" s="782">
        <f>'[10]Div 091'!H79</f>
        <v>0</v>
      </c>
      <c r="J30" s="123">
        <f>VLOOKUP($B30,'[12]Div 91 forecast'!$D$247:$AF$326,9,FALSE)</f>
        <v>175.27542491175089</v>
      </c>
      <c r="K30" s="123">
        <f>VLOOKUP($B30,'[12]Div 91 forecast'!$D$247:$AF$326,10,FALSE)</f>
        <v>103.45459768520762</v>
      </c>
      <c r="L30" s="123">
        <f>VLOOKUP($B30,'[12]Div 91 forecast'!$D$247:$AF$326,11,FALSE)</f>
        <v>271.77003079715081</v>
      </c>
      <c r="M30" s="123">
        <f>VLOOKUP($B30,'[12]Div 91 forecast'!$D$247:$AF$326,12,FALSE)</f>
        <v>146.77732799209693</v>
      </c>
      <c r="N30" s="123">
        <f>VLOOKUP($B30,'[12]Div 91 forecast'!$D$247:$AF$326,13,FALSE)</f>
        <v>281.01179039556047</v>
      </c>
      <c r="O30" s="123">
        <f>VLOOKUP($B30,'[12]Div 91 forecast'!$D$247:$AF$326,14,FALSE)</f>
        <v>163.07731026549072</v>
      </c>
      <c r="P30" s="204">
        <f t="shared" si="2"/>
        <v>1861.3664820472573</v>
      </c>
      <c r="Q30" s="204"/>
      <c r="R30" s="288"/>
    </row>
    <row r="31" spans="1:18">
      <c r="A31" s="104">
        <f t="shared" si="1"/>
        <v>18</v>
      </c>
      <c r="B31" s="400">
        <v>8770</v>
      </c>
      <c r="C31" s="60" t="s">
        <v>937</v>
      </c>
      <c r="D31" s="782">
        <f>'[10]Div 091'!C80</f>
        <v>572.4</v>
      </c>
      <c r="E31" s="782">
        <f>'[10]Div 091'!D80</f>
        <v>15.5</v>
      </c>
      <c r="F31" s="782">
        <f>'[10]Div 091'!E80</f>
        <v>15</v>
      </c>
      <c r="G31" s="782">
        <f>'[10]Div 091'!F80</f>
        <v>3590.5</v>
      </c>
      <c r="H31" s="782">
        <f>'[10]Div 091'!G80</f>
        <v>0</v>
      </c>
      <c r="I31" s="782">
        <f>'[10]Div 091'!H80</f>
        <v>0</v>
      </c>
      <c r="J31" s="123">
        <f>VLOOKUP($B31,'[12]Div 91 forecast'!$D$247:$AF$326,9,FALSE)</f>
        <v>931.83404808620855</v>
      </c>
      <c r="K31" s="123">
        <f>VLOOKUP($B31,'[12]Div 91 forecast'!$D$247:$AF$326,10,FALSE)</f>
        <v>803.21184313128913</v>
      </c>
      <c r="L31" s="123">
        <f>VLOOKUP($B31,'[12]Div 91 forecast'!$D$247:$AF$326,11,FALSE)</f>
        <v>911.71110018709828</v>
      </c>
      <c r="M31" s="123">
        <f>VLOOKUP($B31,'[12]Div 91 forecast'!$D$247:$AF$326,12,FALSE)</f>
        <v>868.76372149375891</v>
      </c>
      <c r="N31" s="123">
        <f>VLOOKUP($B31,'[12]Div 91 forecast'!$D$247:$AF$326,13,FALSE)</f>
        <v>971.89744986463938</v>
      </c>
      <c r="O31" s="123">
        <f>VLOOKUP($B31,'[12]Div 91 forecast'!$D$247:$AF$326,14,FALSE)</f>
        <v>893.951716412049</v>
      </c>
      <c r="P31" s="204">
        <f t="shared" si="2"/>
        <v>9574.7698791750427</v>
      </c>
      <c r="Q31" s="204"/>
      <c r="R31" s="288"/>
    </row>
    <row r="32" spans="1:18">
      <c r="A32" s="104">
        <f t="shared" si="1"/>
        <v>19</v>
      </c>
      <c r="B32" s="400">
        <v>8800</v>
      </c>
      <c r="C32" s="60" t="s">
        <v>940</v>
      </c>
      <c r="D32" s="782">
        <f>'[10]Div 091'!C81</f>
        <v>0</v>
      </c>
      <c r="E32" s="782">
        <f>'[10]Div 091'!D81</f>
        <v>0</v>
      </c>
      <c r="F32" s="782">
        <f>'[10]Div 091'!E81</f>
        <v>503.71000000000004</v>
      </c>
      <c r="G32" s="782">
        <f>'[10]Div 091'!F81</f>
        <v>0</v>
      </c>
      <c r="H32" s="782">
        <f>'[10]Div 091'!G81</f>
        <v>0</v>
      </c>
      <c r="I32" s="782">
        <f>'[10]Div 091'!H81</f>
        <v>0</v>
      </c>
      <c r="J32" s="123">
        <f>VLOOKUP($B32,'[12]Div 91 forecast'!$D$247:$AF$326,9,FALSE)</f>
        <v>119.98222151656657</v>
      </c>
      <c r="K32" s="123">
        <f>VLOOKUP($B32,'[12]Div 91 forecast'!$D$247:$AF$326,10,FALSE)</f>
        <v>105.86530967153556</v>
      </c>
      <c r="L32" s="123">
        <f>VLOOKUP($B32,'[12]Div 91 forecast'!$D$247:$AF$326,11,FALSE)</f>
        <v>171.68814656514871</v>
      </c>
      <c r="M32" s="123">
        <f>VLOOKUP($B32,'[12]Div 91 forecast'!$D$247:$AF$326,12,FALSE)</f>
        <v>95.416527945257712</v>
      </c>
      <c r="N32" s="123">
        <f>VLOOKUP($B32,'[12]Div 91 forecast'!$D$247:$AF$326,13,FALSE)</f>
        <v>118.00720025284338</v>
      </c>
      <c r="O32" s="123">
        <f>VLOOKUP($B32,'[12]Div 91 forecast'!$D$247:$AF$326,14,FALSE)</f>
        <v>87.317310778426901</v>
      </c>
      <c r="P32" s="204">
        <f t="shared" si="2"/>
        <v>1201.9867167297789</v>
      </c>
      <c r="Q32" s="204"/>
      <c r="R32" s="288"/>
    </row>
    <row r="33" spans="1:18">
      <c r="A33" s="104">
        <f t="shared" si="1"/>
        <v>20</v>
      </c>
      <c r="B33" s="400">
        <v>8810</v>
      </c>
      <c r="C33" s="60" t="s">
        <v>941</v>
      </c>
      <c r="D33" s="782">
        <f>'[10]Div 091'!C82</f>
        <v>25712.25</v>
      </c>
      <c r="E33" s="782">
        <f>'[10]Div 091'!D82</f>
        <v>27867.590000000004</v>
      </c>
      <c r="F33" s="782">
        <f>'[10]Div 091'!E82</f>
        <v>22685.14</v>
      </c>
      <c r="G33" s="782">
        <f>'[10]Div 091'!F82</f>
        <v>24792.54</v>
      </c>
      <c r="H33" s="782">
        <f>'[10]Div 091'!G82</f>
        <v>23789.679999999993</v>
      </c>
      <c r="I33" s="782">
        <f>'[10]Div 091'!H82</f>
        <v>25854.180000000008</v>
      </c>
      <c r="J33" s="123">
        <f>VLOOKUP($B33,'[12]Div 91 forecast'!$D$247:$AF$326,9,FALSE)</f>
        <v>24230.405967051531</v>
      </c>
      <c r="K33" s="123">
        <f>VLOOKUP($B33,'[12]Div 91 forecast'!$D$247:$AF$326,10,FALSE)</f>
        <v>25256.452934959845</v>
      </c>
      <c r="L33" s="123">
        <f>VLOOKUP($B33,'[12]Div 91 forecast'!$D$247:$AF$326,11,FALSE)</f>
        <v>25540.143135238384</v>
      </c>
      <c r="M33" s="123">
        <f>VLOOKUP($B33,'[12]Div 91 forecast'!$D$247:$AF$326,12,FALSE)</f>
        <v>27625.649472421137</v>
      </c>
      <c r="N33" s="123">
        <f>VLOOKUP($B33,'[12]Div 91 forecast'!$D$247:$AF$326,13,FALSE)</f>
        <v>29257.081104653567</v>
      </c>
      <c r="O33" s="123">
        <f>VLOOKUP($B33,'[12]Div 91 forecast'!$D$247:$AF$326,14,FALSE)</f>
        <v>29924.988362966993</v>
      </c>
      <c r="P33" s="204">
        <f t="shared" si="2"/>
        <v>312536.10097729141</v>
      </c>
      <c r="Q33" s="204"/>
      <c r="R33" s="288"/>
    </row>
    <row r="34" spans="1:18">
      <c r="A34" s="104">
        <f t="shared" si="1"/>
        <v>21</v>
      </c>
      <c r="B34" s="400">
        <v>9010</v>
      </c>
      <c r="C34" t="s">
        <v>186</v>
      </c>
      <c r="D34" s="782">
        <f>'[10]Div 091'!C83</f>
        <v>0</v>
      </c>
      <c r="E34" s="782">
        <f>'[10]Div 091'!D83</f>
        <v>0</v>
      </c>
      <c r="F34" s="782">
        <f>'[10]Div 091'!E83</f>
        <v>5000</v>
      </c>
      <c r="G34" s="782">
        <f>'[10]Div 091'!F83</f>
        <v>0</v>
      </c>
      <c r="H34" s="782">
        <f>'[10]Div 091'!G83</f>
        <v>0</v>
      </c>
      <c r="I34" s="782">
        <f>'[10]Div 091'!H83</f>
        <v>0</v>
      </c>
      <c r="J34" s="123">
        <f>VLOOKUP($B34,'[12]Div 91 forecast'!$D$247:$AF$326,9,FALSE)</f>
        <v>1454.2343243365067</v>
      </c>
      <c r="K34" s="123">
        <f>VLOOKUP($B34,'[12]Div 91 forecast'!$D$247:$AF$326,10,FALSE)</f>
        <v>693.73047083823781</v>
      </c>
      <c r="L34" s="123">
        <f>VLOOKUP($B34,'[12]Div 91 forecast'!$D$247:$AF$326,11,FALSE)</f>
        <v>1508.435452625813</v>
      </c>
      <c r="M34" s="123">
        <f>VLOOKUP($B34,'[12]Div 91 forecast'!$D$247:$AF$326,12,FALSE)</f>
        <v>657.67943269280556</v>
      </c>
      <c r="N34" s="123">
        <f>VLOOKUP($B34,'[12]Div 91 forecast'!$D$247:$AF$326,13,FALSE)</f>
        <v>2238.760859782531</v>
      </c>
      <c r="O34" s="123">
        <f>VLOOKUP($B34,'[12]Div 91 forecast'!$D$247:$AF$326,14,FALSE)</f>
        <v>3439.51083849305</v>
      </c>
      <c r="P34" s="204">
        <f t="shared" si="2"/>
        <v>14992.351378768943</v>
      </c>
      <c r="Q34" s="204"/>
      <c r="R34" s="288"/>
    </row>
    <row r="35" spans="1:18">
      <c r="A35" s="104">
        <f t="shared" si="1"/>
        <v>22</v>
      </c>
      <c r="B35" s="400">
        <v>9030</v>
      </c>
      <c r="C35" s="60" t="s">
        <v>956</v>
      </c>
      <c r="D35" s="782">
        <f>'[10]Div 091'!C84</f>
        <v>261150.09999999998</v>
      </c>
      <c r="E35" s="782">
        <f>'[10]Div 091'!D84</f>
        <v>262590.69</v>
      </c>
      <c r="F35" s="782">
        <f>'[10]Div 091'!E84</f>
        <v>235445.98</v>
      </c>
      <c r="G35" s="782">
        <f>'[10]Div 091'!F84</f>
        <v>239238.05000000002</v>
      </c>
      <c r="H35" s="782">
        <f>'[10]Div 091'!G84</f>
        <v>222692.06</v>
      </c>
      <c r="I35" s="782">
        <f>'[10]Div 091'!H84</f>
        <v>220918.12</v>
      </c>
      <c r="J35" s="123">
        <f>VLOOKUP($B35,'[12]Div 91 forecast'!$D$247:$AF$326,9,FALSE)</f>
        <v>314343.05825612717</v>
      </c>
      <c r="K35" s="123">
        <f>VLOOKUP($B35,'[12]Div 91 forecast'!$D$247:$AF$326,10,FALSE)</f>
        <v>288462.75780198793</v>
      </c>
      <c r="L35" s="123">
        <f>VLOOKUP($B35,'[12]Div 91 forecast'!$D$247:$AF$326,11,FALSE)</f>
        <v>274148.50667064369</v>
      </c>
      <c r="M35" s="123">
        <f>VLOOKUP($B35,'[12]Div 91 forecast'!$D$247:$AF$326,12,FALSE)</f>
        <v>299979.43386213487</v>
      </c>
      <c r="N35" s="123">
        <f>VLOOKUP($B35,'[12]Div 91 forecast'!$D$247:$AF$326,13,FALSE)</f>
        <v>293961.31332805741</v>
      </c>
      <c r="O35" s="123">
        <f>VLOOKUP($B35,'[12]Div 91 forecast'!$D$247:$AF$326,14,FALSE)</f>
        <v>302813.92033512215</v>
      </c>
      <c r="P35" s="204">
        <f t="shared" si="2"/>
        <v>3215743.9902540734</v>
      </c>
      <c r="Q35" s="204"/>
      <c r="R35" s="288"/>
    </row>
    <row r="36" spans="1:18">
      <c r="A36" s="104">
        <f t="shared" si="1"/>
        <v>23</v>
      </c>
      <c r="B36" s="400">
        <v>9100</v>
      </c>
      <c r="C36" s="60" t="s">
        <v>959</v>
      </c>
      <c r="D36" s="782">
        <f>'[10]Div 091'!C85</f>
        <v>80.69</v>
      </c>
      <c r="E36" s="782">
        <f>'[10]Div 091'!D85</f>
        <v>6.83</v>
      </c>
      <c r="F36" s="782">
        <f>'[10]Div 091'!E85</f>
        <v>0</v>
      </c>
      <c r="G36" s="782">
        <f>'[10]Div 091'!F85</f>
        <v>0</v>
      </c>
      <c r="H36" s="782">
        <f>'[10]Div 091'!G85</f>
        <v>61.29</v>
      </c>
      <c r="I36" s="782">
        <f>'[10]Div 091'!H85</f>
        <v>72.63</v>
      </c>
      <c r="J36" s="123">
        <f>VLOOKUP($B36,'[12]Div 91 forecast'!$D$247:$AF$326,9,FALSE)</f>
        <v>64.405129756215203</v>
      </c>
      <c r="K36" s="123">
        <f>VLOOKUP($B36,'[12]Div 91 forecast'!$D$247:$AF$326,10,FALSE)</f>
        <v>30.723935092483874</v>
      </c>
      <c r="L36" s="123">
        <f>VLOOKUP($B36,'[12]Div 91 forecast'!$D$247:$AF$326,11,FALSE)</f>
        <v>66.805589325892001</v>
      </c>
      <c r="M36" s="123">
        <f>VLOOKUP($B36,'[12]Div 91 forecast'!$D$247:$AF$326,12,FALSE)</f>
        <v>29.127306715098971</v>
      </c>
      <c r="N36" s="123">
        <f>VLOOKUP($B36,'[12]Div 91 forecast'!$D$247:$AF$326,13,FALSE)</f>
        <v>99.150240958048727</v>
      </c>
      <c r="O36" s="123">
        <f>VLOOKUP($B36,'[12]Div 91 forecast'!$D$247:$AF$326,14,FALSE)</f>
        <v>152.32905601518019</v>
      </c>
      <c r="P36" s="204">
        <f t="shared" si="2"/>
        <v>663.98125786291905</v>
      </c>
      <c r="Q36" s="204"/>
      <c r="R36" s="288"/>
    </row>
    <row r="37" spans="1:18">
      <c r="A37" s="104">
        <f t="shared" si="1"/>
        <v>24</v>
      </c>
      <c r="B37" s="400">
        <v>9110</v>
      </c>
      <c r="C37" s="60" t="s">
        <v>960</v>
      </c>
      <c r="D37" s="782">
        <f>'[10]Div 091'!C86</f>
        <v>8143.9500000000007</v>
      </c>
      <c r="E37" s="782">
        <f>'[10]Div 091'!D86</f>
        <v>11938.72</v>
      </c>
      <c r="F37" s="782">
        <f>'[10]Div 091'!E86</f>
        <v>8546.0499999999993</v>
      </c>
      <c r="G37" s="782">
        <f>'[10]Div 091'!F86</f>
        <v>15853.81</v>
      </c>
      <c r="H37" s="782">
        <f>'[10]Div 091'!G86</f>
        <v>9151.119999999999</v>
      </c>
      <c r="I37" s="782">
        <f>'[10]Div 091'!H86</f>
        <v>9859.86</v>
      </c>
      <c r="J37" s="123">
        <f>VLOOKUP($B37,'[12]Div 91 forecast'!$D$247:$AF$326,9,FALSE)</f>
        <v>13670.830328662136</v>
      </c>
      <c r="K37" s="123">
        <f>VLOOKUP($B37,'[12]Div 91 forecast'!$D$247:$AF$326,10,FALSE)</f>
        <v>13022.559284605268</v>
      </c>
      <c r="L37" s="123">
        <f>VLOOKUP($B37,'[12]Div 91 forecast'!$D$247:$AF$326,11,FALSE)</f>
        <v>14699.802734631512</v>
      </c>
      <c r="M37" s="123">
        <f>VLOOKUP($B37,'[12]Div 91 forecast'!$D$247:$AF$326,12,FALSE)</f>
        <v>13127.955055746314</v>
      </c>
      <c r="N37" s="123">
        <f>VLOOKUP($B37,'[12]Div 91 forecast'!$D$247:$AF$326,13,FALSE)</f>
        <v>12988.494378943051</v>
      </c>
      <c r="O37" s="123">
        <f>VLOOKUP($B37,'[12]Div 91 forecast'!$D$247:$AF$326,14,FALSE)</f>
        <v>11999.957307701816</v>
      </c>
      <c r="P37" s="204">
        <f t="shared" si="2"/>
        <v>143003.10909029009</v>
      </c>
      <c r="Q37" s="204"/>
      <c r="R37" s="288"/>
    </row>
    <row r="38" spans="1:18">
      <c r="A38" s="104">
        <f t="shared" si="1"/>
        <v>25</v>
      </c>
      <c r="B38" s="400">
        <v>9120</v>
      </c>
      <c r="C38" s="60" t="s">
        <v>961</v>
      </c>
      <c r="D38" s="782">
        <f>'[10]Div 091'!C87</f>
        <v>138.62</v>
      </c>
      <c r="E38" s="782">
        <f>'[10]Div 091'!D87</f>
        <v>0</v>
      </c>
      <c r="F38" s="782">
        <f>'[10]Div 091'!E87</f>
        <v>0</v>
      </c>
      <c r="G38" s="782">
        <f>'[10]Div 091'!F87</f>
        <v>0</v>
      </c>
      <c r="H38" s="782">
        <f>'[10]Div 091'!G87</f>
        <v>0</v>
      </c>
      <c r="I38" s="782">
        <f>'[10]Div 091'!H87</f>
        <v>0</v>
      </c>
      <c r="J38" s="123">
        <f>VLOOKUP($B38,'[12]Div 91 forecast'!$D$247:$AF$326,9,FALSE)</f>
        <v>40.31719240790531</v>
      </c>
      <c r="K38" s="123">
        <f>VLOOKUP($B38,'[12]Div 91 forecast'!$D$247:$AF$326,10,FALSE)</f>
        <v>19.232983573519306</v>
      </c>
      <c r="L38" s="123">
        <f>VLOOKUP($B38,'[12]Div 91 forecast'!$D$247:$AF$326,11,FALSE)</f>
        <v>41.819864488598043</v>
      </c>
      <c r="M38" s="123">
        <f>VLOOKUP($B38,'[12]Div 91 forecast'!$D$247:$AF$326,12,FALSE)</f>
        <v>18.23350459197534</v>
      </c>
      <c r="N38" s="123">
        <f>VLOOKUP($B38,'[12]Div 91 forecast'!$D$247:$AF$326,13,FALSE)</f>
        <v>62.067406076610887</v>
      </c>
      <c r="O38" s="123">
        <f>VLOOKUP($B38,'[12]Div 91 forecast'!$D$247:$AF$326,14,FALSE)</f>
        <v>95.356998486381315</v>
      </c>
      <c r="P38" s="204">
        <f t="shared" si="2"/>
        <v>415.64794962499025</v>
      </c>
      <c r="Q38" s="204"/>
      <c r="R38" s="288"/>
    </row>
    <row r="39" spans="1:18">
      <c r="A39" s="104">
        <f t="shared" si="1"/>
        <v>26</v>
      </c>
      <c r="B39" s="400">
        <v>9130</v>
      </c>
      <c r="C39" s="60" t="s">
        <v>962</v>
      </c>
      <c r="D39" s="782">
        <f>'[10]Div 091'!C88</f>
        <v>0</v>
      </c>
      <c r="E39" s="782">
        <f>'[10]Div 091'!D88</f>
        <v>0</v>
      </c>
      <c r="F39" s="782">
        <f>'[10]Div 091'!E88</f>
        <v>2321.0499999999997</v>
      </c>
      <c r="G39" s="782">
        <f>'[10]Div 091'!F88</f>
        <v>149.52000000000001</v>
      </c>
      <c r="H39" s="782">
        <f>'[10]Div 091'!G88</f>
        <v>0</v>
      </c>
      <c r="I39" s="782">
        <f>'[10]Div 091'!H88</f>
        <v>0</v>
      </c>
      <c r="J39" s="123">
        <f>VLOOKUP($B39,'[12]Div 91 forecast'!$D$247:$AF$326,9,FALSE)</f>
        <v>718.55753893520853</v>
      </c>
      <c r="K39" s="123">
        <f>VLOOKUP($B39,'[12]Div 91 forecast'!$D$247:$AF$326,10,FALSE)</f>
        <v>342.78193786776501</v>
      </c>
      <c r="L39" s="123">
        <f>VLOOKUP($B39,'[12]Div 91 forecast'!$D$247:$AF$326,11,FALSE)</f>
        <v>745.33907523875087</v>
      </c>
      <c r="M39" s="123">
        <f>VLOOKUP($B39,'[12]Div 91 forecast'!$D$247:$AF$326,12,FALSE)</f>
        <v>324.96861520557286</v>
      </c>
      <c r="N39" s="123">
        <f>VLOOKUP($B39,'[12]Div 91 forecast'!$D$247:$AF$326,13,FALSE)</f>
        <v>1106.2030834705852</v>
      </c>
      <c r="O39" s="123">
        <f>VLOOKUP($B39,'[12]Div 91 forecast'!$D$247:$AF$326,14,FALSE)</f>
        <v>1699.5104584511546</v>
      </c>
      <c r="P39" s="204">
        <f t="shared" si="2"/>
        <v>7407.9307091690362</v>
      </c>
      <c r="Q39" s="204"/>
      <c r="R39" s="288"/>
    </row>
    <row r="40" spans="1:18">
      <c r="A40" s="104">
        <f t="shared" si="1"/>
        <v>27</v>
      </c>
      <c r="B40" s="400">
        <v>9200</v>
      </c>
      <c r="C40" s="60" t="s">
        <v>187</v>
      </c>
      <c r="D40" s="782">
        <f>'[10]Div 091'!C89</f>
        <v>-4567.08</v>
      </c>
      <c r="E40" s="782">
        <f>'[10]Div 091'!D89</f>
        <v>-4656.62</v>
      </c>
      <c r="F40" s="782">
        <f>'[10]Div 091'!E89</f>
        <v>-5150.38</v>
      </c>
      <c r="G40" s="782">
        <f>'[10]Div 091'!F89</f>
        <v>-4164.2</v>
      </c>
      <c r="H40" s="782">
        <f>'[10]Div 091'!G89</f>
        <v>-4788.71</v>
      </c>
      <c r="I40" s="782">
        <f>'[10]Div 091'!H89</f>
        <v>-3965.03</v>
      </c>
      <c r="J40" s="123">
        <f>VLOOKUP($B40,'[12]Div 91 forecast'!$D$247:$AF$326,9,FALSE)</f>
        <v>-283.95160440359831</v>
      </c>
      <c r="K40" s="123">
        <f>VLOOKUP($B40,'[12]Div 91 forecast'!$D$247:$AF$326,10,FALSE)</f>
        <v>-4687.5100222886695</v>
      </c>
      <c r="L40" s="123">
        <f>VLOOKUP($B40,'[12]Div 91 forecast'!$D$247:$AF$326,11,FALSE)</f>
        <v>6168.4446094830464</v>
      </c>
      <c r="M40" s="123">
        <f>VLOOKUP($B40,'[12]Div 91 forecast'!$D$247:$AF$326,12,FALSE)</f>
        <v>2090.3916893289288</v>
      </c>
      <c r="N40" s="123">
        <f>VLOOKUP($B40,'[12]Div 91 forecast'!$D$247:$AF$326,13,FALSE)</f>
        <v>-9840.1927948807952</v>
      </c>
      <c r="O40" s="123">
        <f>VLOOKUP($B40,'[12]Div 91 forecast'!$D$247:$AF$326,14,FALSE)</f>
        <v>201.99809256353538</v>
      </c>
      <c r="P40" s="204">
        <f t="shared" si="2"/>
        <v>-33642.840030197556</v>
      </c>
      <c r="Q40" s="204"/>
      <c r="R40" s="288"/>
    </row>
    <row r="41" spans="1:18">
      <c r="A41" s="104">
        <f t="shared" si="1"/>
        <v>28</v>
      </c>
      <c r="B41" s="400">
        <v>9210</v>
      </c>
      <c r="C41" s="60" t="s">
        <v>963</v>
      </c>
      <c r="D41" s="782">
        <f>'[10]Div 091'!C90</f>
        <v>0</v>
      </c>
      <c r="E41" s="782">
        <f>'[10]Div 091'!D90</f>
        <v>579.5200000000001</v>
      </c>
      <c r="F41" s="782">
        <f>'[10]Div 091'!E90</f>
        <v>358</v>
      </c>
      <c r="G41" s="782">
        <f>'[10]Div 091'!F90</f>
        <v>46.04</v>
      </c>
      <c r="H41" s="782">
        <f>'[10]Div 091'!G90</f>
        <v>2250</v>
      </c>
      <c r="I41" s="782">
        <f>'[10]Div 091'!H90</f>
        <v>-1.04</v>
      </c>
      <c r="J41" s="123">
        <f>VLOOKUP($B41,'[12]Div 91 forecast'!$D$247:$AF$326,9,FALSE)</f>
        <v>729.83285910272127</v>
      </c>
      <c r="K41" s="123">
        <f>VLOOKUP($B41,'[12]Div 91 forecast'!$D$247:$AF$326,10,FALSE)</f>
        <v>652.13282996501925</v>
      </c>
      <c r="L41" s="123">
        <f>VLOOKUP($B41,'[12]Div 91 forecast'!$D$247:$AF$326,11,FALSE)</f>
        <v>749.66413721502727</v>
      </c>
      <c r="M41" s="123">
        <f>VLOOKUP($B41,'[12]Div 91 forecast'!$D$247:$AF$326,12,FALSE)</f>
        <v>650.33386263195234</v>
      </c>
      <c r="N41" s="123">
        <f>VLOOKUP($B41,'[12]Div 91 forecast'!$D$247:$AF$326,13,FALSE)</f>
        <v>695.48782963388658</v>
      </c>
      <c r="O41" s="123">
        <f>VLOOKUP($B41,'[12]Div 91 forecast'!$D$247:$AF$326,14,FALSE)</f>
        <v>643.74142306234444</v>
      </c>
      <c r="P41" s="204">
        <f t="shared" si="2"/>
        <v>7353.7129416109501</v>
      </c>
      <c r="Q41" s="204"/>
      <c r="R41" s="204"/>
    </row>
    <row r="42" spans="1:18">
      <c r="A42" s="104">
        <f t="shared" si="1"/>
        <v>29</v>
      </c>
      <c r="B42" s="400">
        <v>9220</v>
      </c>
      <c r="C42" s="60" t="s">
        <v>964</v>
      </c>
      <c r="D42" s="782">
        <f>'[10]Div 091'!C91</f>
        <v>-755677.71999999962</v>
      </c>
      <c r="E42" s="782">
        <f>'[10]Div 091'!D91</f>
        <v>-785580.09999999974</v>
      </c>
      <c r="F42" s="782">
        <f>'[10]Div 091'!E91</f>
        <v>-919770.84000000008</v>
      </c>
      <c r="G42" s="782">
        <f>'[10]Div 091'!F91</f>
        <v>-721489.99999999977</v>
      </c>
      <c r="H42" s="782">
        <f>'[10]Div 091'!G91</f>
        <v>-1326376.6400000004</v>
      </c>
      <c r="I42" s="782">
        <f>'[10]Div 091'!H91</f>
        <v>-697810.12999999977</v>
      </c>
      <c r="J42" s="123">
        <f t="shared" ref="J42:O42" si="3">-(SUM(J14:J41,J43:J48))</f>
        <v>-1017790.1900000002</v>
      </c>
      <c r="K42" s="123">
        <f t="shared" si="3"/>
        <v>-916521.27595000016</v>
      </c>
      <c r="L42" s="123">
        <f t="shared" si="3"/>
        <v>-1002397.8340699999</v>
      </c>
      <c r="M42" s="123">
        <f t="shared" si="3"/>
        <v>-1010687.7516400003</v>
      </c>
      <c r="N42" s="123">
        <f t="shared" si="3"/>
        <v>-1017875.4980199998</v>
      </c>
      <c r="O42" s="123">
        <f t="shared" si="3"/>
        <v>-1026475.31204</v>
      </c>
      <c r="P42" s="204">
        <f t="shared" si="2"/>
        <v>-11198453.291720001</v>
      </c>
      <c r="Q42" s="771"/>
      <c r="R42" s="204"/>
    </row>
    <row r="43" spans="1:18">
      <c r="A43" s="104">
        <f t="shared" si="1"/>
        <v>30</v>
      </c>
      <c r="B43" s="400">
        <v>9230</v>
      </c>
      <c r="C43" s="60" t="s">
        <v>965</v>
      </c>
      <c r="D43" s="782">
        <f>'[10]Div 091'!C92</f>
        <v>22567.24</v>
      </c>
      <c r="E43" s="782">
        <f>'[10]Div 091'!D92</f>
        <v>12254.419999999998</v>
      </c>
      <c r="F43" s="782">
        <f>'[10]Div 091'!E92</f>
        <v>15853.769999999999</v>
      </c>
      <c r="G43" s="782">
        <f>'[10]Div 091'!F92</f>
        <v>9835.6299999999992</v>
      </c>
      <c r="H43" s="782">
        <f>'[10]Div 091'!G92</f>
        <v>0</v>
      </c>
      <c r="I43" s="782">
        <f>'[10]Div 091'!H92</f>
        <v>16709.309999999998</v>
      </c>
      <c r="J43" s="123">
        <f>VLOOKUP($B43,'[12]Div 91 forecast'!$D$247:$AF$326,9,FALSE)</f>
        <v>16875.986616682592</v>
      </c>
      <c r="K43" s="123">
        <f>VLOOKUP($B43,'[12]Div 91 forecast'!$D$247:$AF$326,10,FALSE)</f>
        <v>15430.160048711428</v>
      </c>
      <c r="L43" s="123">
        <f>VLOOKUP($B43,'[12]Div 91 forecast'!$D$247:$AF$326,11,FALSE)</f>
        <v>14651.152353422915</v>
      </c>
      <c r="M43" s="123">
        <f>VLOOKUP($B43,'[12]Div 91 forecast'!$D$247:$AF$326,12,FALSE)</f>
        <v>16042.360262033562</v>
      </c>
      <c r="N43" s="123">
        <f>VLOOKUP($B43,'[12]Div 91 forecast'!$D$247:$AF$326,13,FALSE)</f>
        <v>15779.729789946392</v>
      </c>
      <c r="O43" s="123">
        <f>VLOOKUP($B43,'[12]Div 91 forecast'!$D$247:$AF$326,14,FALSE)</f>
        <v>16284.024839064059</v>
      </c>
      <c r="P43" s="204">
        <f t="shared" si="2"/>
        <v>172283.78390986097</v>
      </c>
      <c r="Q43" s="204"/>
      <c r="R43" s="204"/>
    </row>
    <row r="44" spans="1:18">
      <c r="A44" s="104">
        <f t="shared" si="1"/>
        <v>31</v>
      </c>
      <c r="B44" s="400">
        <v>9240</v>
      </c>
      <c r="C44" s="60" t="s">
        <v>966</v>
      </c>
      <c r="D44" s="782">
        <f>'[10]Div 091'!C93</f>
        <v>-668.09000000000015</v>
      </c>
      <c r="E44" s="782">
        <f>'[10]Div 091'!D93</f>
        <v>-827.91000000000008</v>
      </c>
      <c r="F44" s="782">
        <f>'[10]Div 091'!E93</f>
        <v>-800.05</v>
      </c>
      <c r="G44" s="782">
        <f>'[10]Div 091'!F93</f>
        <v>-873.82999999999993</v>
      </c>
      <c r="H44" s="782">
        <f>'[10]Div 091'!G93</f>
        <v>-836.98</v>
      </c>
      <c r="I44" s="782">
        <f>'[10]Div 091'!H93</f>
        <v>-886.79</v>
      </c>
      <c r="J44" s="123">
        <f>VLOOKUP($B44,'[12]Div 91 forecast'!$D$247:$AF$326,9,FALSE)</f>
        <v>-9034.7089966792264</v>
      </c>
      <c r="K44" s="123">
        <f>VLOOKUP($B44,'[12]Div 91 forecast'!$D$247:$AF$326,10,FALSE)</f>
        <v>-6911.2243741196362</v>
      </c>
      <c r="L44" s="123">
        <f>VLOOKUP($B44,'[12]Div 91 forecast'!$D$247:$AF$326,11,FALSE)</f>
        <v>-7030.016583731237</v>
      </c>
      <c r="M44" s="123">
        <f>VLOOKUP($B44,'[12]Div 91 forecast'!$D$247:$AF$326,12,FALSE)</f>
        <v>-6899.7982577722532</v>
      </c>
      <c r="N44" s="123">
        <f>VLOOKUP($B44,'[12]Div 91 forecast'!$D$247:$AF$326,13,FALSE)</f>
        <v>-6999.0872687909032</v>
      </c>
      <c r="O44" s="123">
        <f>VLOOKUP($B44,'[12]Div 91 forecast'!$D$247:$AF$326,14,FALSE)</f>
        <v>-7021.7424994796829</v>
      </c>
      <c r="P44" s="204">
        <f t="shared" si="2"/>
        <v>-48790.227980572941</v>
      </c>
      <c r="Q44" s="204"/>
      <c r="R44" s="204"/>
    </row>
    <row r="45" spans="1:18">
      <c r="A45" s="104">
        <f t="shared" si="1"/>
        <v>32</v>
      </c>
      <c r="B45" s="400">
        <v>9250</v>
      </c>
      <c r="C45" s="60" t="s">
        <v>967</v>
      </c>
      <c r="D45" s="782">
        <f>'[10]Div 091'!C94</f>
        <v>25270.67</v>
      </c>
      <c r="E45" s="782">
        <f>'[10]Div 091'!D94</f>
        <v>14117.62</v>
      </c>
      <c r="F45" s="782">
        <f>'[10]Div 091'!E94</f>
        <v>24049.98</v>
      </c>
      <c r="G45" s="782">
        <f>'[10]Div 091'!F94</f>
        <v>23671.69</v>
      </c>
      <c r="H45" s="782">
        <f>'[10]Div 091'!G94</f>
        <v>23973.800000000003</v>
      </c>
      <c r="I45" s="782">
        <f>'[10]Div 091'!H94</f>
        <v>72437.69</v>
      </c>
      <c r="J45" s="123">
        <f>VLOOKUP($B45,'[12]Div 91 forecast'!$D$247:$AF$326,9,FALSE)</f>
        <v>69118.86138759664</v>
      </c>
      <c r="K45" s="123">
        <f>VLOOKUP($B45,'[12]Div 91 forecast'!$D$247:$AF$326,10,FALSE)</f>
        <v>57886.239977794605</v>
      </c>
      <c r="L45" s="123">
        <f>VLOOKUP($B45,'[12]Div 91 forecast'!$D$247:$AF$326,11,FALSE)</f>
        <v>56709.994827744944</v>
      </c>
      <c r="M45" s="123">
        <f>VLOOKUP($B45,'[12]Div 91 forecast'!$D$247:$AF$326,12,FALSE)</f>
        <v>59314.163914020392</v>
      </c>
      <c r="N45" s="123">
        <f>VLOOKUP($B45,'[12]Div 91 forecast'!$D$247:$AF$326,13,FALSE)</f>
        <v>56639.380554347248</v>
      </c>
      <c r="O45" s="123">
        <f>VLOOKUP($B45,'[12]Div 91 forecast'!$D$247:$AF$326,14,FALSE)</f>
        <v>56691.125887914241</v>
      </c>
      <c r="P45" s="204">
        <f t="shared" si="2"/>
        <v>539881.21654941805</v>
      </c>
      <c r="Q45" s="204"/>
      <c r="R45" s="204"/>
    </row>
    <row r="46" spans="1:18">
      <c r="A46" s="104">
        <f t="shared" si="1"/>
        <v>33</v>
      </c>
      <c r="B46" s="399">
        <v>9260</v>
      </c>
      <c r="C46" s="60" t="s">
        <v>968</v>
      </c>
      <c r="D46" s="782">
        <f>'[10]Div 091'!C95</f>
        <v>113470.74999999996</v>
      </c>
      <c r="E46" s="782">
        <f>'[10]Div 091'!D95</f>
        <v>149784.31999999998</v>
      </c>
      <c r="F46" s="782">
        <f>'[10]Div 091'!E95</f>
        <v>293007.1499999995</v>
      </c>
      <c r="G46" s="782">
        <f>'[10]Div 091'!F95</f>
        <v>137531.18000000014</v>
      </c>
      <c r="H46" s="782">
        <f>'[10]Div 091'!G95</f>
        <v>709528.64</v>
      </c>
      <c r="I46" s="782">
        <f>'[10]Div 091'!H95</f>
        <v>81144.219999999987</v>
      </c>
      <c r="J46" s="123">
        <f>VLOOKUP($B46,'[12]Div 91 forecast'!$D$247:$AF$326,9,FALSE)</f>
        <v>141759.23581915745</v>
      </c>
      <c r="K46" s="123">
        <f>VLOOKUP($B46,'[12]Div 91 forecast'!$D$247:$AF$326,10,FALSE)</f>
        <v>149339.82045462413</v>
      </c>
      <c r="L46" s="123">
        <f>VLOOKUP($B46,'[12]Div 91 forecast'!$D$247:$AF$326,11,FALSE)</f>
        <v>167812.05951962198</v>
      </c>
      <c r="M46" s="123">
        <f>VLOOKUP($B46,'[12]Div 91 forecast'!$D$247:$AF$326,12,FALSE)</f>
        <v>178522.26228787206</v>
      </c>
      <c r="N46" s="123">
        <f>VLOOKUP($B46,'[12]Div 91 forecast'!$D$247:$AF$326,13,FALSE)</f>
        <v>183552.37270742506</v>
      </c>
      <c r="O46" s="123">
        <f>VLOOKUP($B46,'[12]Div 91 forecast'!$D$247:$AF$326,14,FALSE)</f>
        <v>172358.82403770534</v>
      </c>
      <c r="P46" s="204">
        <f t="shared" si="2"/>
        <v>2477810.8348264056</v>
      </c>
      <c r="Q46" s="204"/>
      <c r="R46" s="204"/>
    </row>
    <row r="47" spans="1:18">
      <c r="A47" s="104">
        <f t="shared" si="1"/>
        <v>34</v>
      </c>
      <c r="B47" s="400">
        <v>9302</v>
      </c>
      <c r="C47" s="60" t="s">
        <v>875</v>
      </c>
      <c r="D47" s="782">
        <f>'[10]Div 091'!C96</f>
        <v>7323.2</v>
      </c>
      <c r="E47" s="782">
        <f>'[10]Div 091'!D96</f>
        <v>7243.6</v>
      </c>
      <c r="F47" s="782">
        <f>'[10]Div 091'!E96</f>
        <v>15963.6</v>
      </c>
      <c r="G47" s="782">
        <f>'[10]Div 091'!F96</f>
        <v>7243.6</v>
      </c>
      <c r="H47" s="782">
        <f>'[10]Div 091'!G96</f>
        <v>7243.6</v>
      </c>
      <c r="I47" s="782">
        <f>'[10]Div 091'!H96</f>
        <v>7243.6</v>
      </c>
      <c r="J47" s="123">
        <f>VLOOKUP($B47,'[12]Div 91 forecast'!$D$247:$AF$326,9,FALSE)</f>
        <v>14743.463191357721</v>
      </c>
      <c r="K47" s="123">
        <f>VLOOKUP($B47,'[12]Div 91 forecast'!$D$247:$AF$326,10,FALSE)</f>
        <v>11737.433062865735</v>
      </c>
      <c r="L47" s="123">
        <f>VLOOKUP($B47,'[12]Div 91 forecast'!$D$247:$AF$326,11,FALSE)</f>
        <v>12127.970059160927</v>
      </c>
      <c r="M47" s="123">
        <f>VLOOKUP($B47,'[12]Div 91 forecast'!$D$247:$AF$326,12,FALSE)</f>
        <v>19055.595601028941</v>
      </c>
      <c r="N47" s="123">
        <f>VLOOKUP($B47,'[12]Div 91 forecast'!$D$247:$AF$326,13,FALSE)</f>
        <v>6224.086290409844</v>
      </c>
      <c r="O47" s="123">
        <f>VLOOKUP($B47,'[12]Div 91 forecast'!$D$247:$AF$326,14,FALSE)</f>
        <v>8793.8826905976894</v>
      </c>
      <c r="P47" s="204">
        <f t="shared" si="2"/>
        <v>124943.63089542085</v>
      </c>
      <c r="Q47" s="204"/>
      <c r="R47" s="204"/>
    </row>
    <row r="48" spans="1:18">
      <c r="A48" s="104">
        <f t="shared" si="1"/>
        <v>35</v>
      </c>
      <c r="B48" s="400">
        <v>9310</v>
      </c>
      <c r="C48" s="60" t="s">
        <v>189</v>
      </c>
      <c r="D48" s="782">
        <f>'[10]Div 091'!C97</f>
        <v>12.38</v>
      </c>
      <c r="E48" s="782">
        <f>'[10]Div 091'!D97</f>
        <v>5.0599999999999996</v>
      </c>
      <c r="F48" s="782">
        <f>'[10]Div 091'!E97</f>
        <v>5.0599999999999996</v>
      </c>
      <c r="G48" s="782">
        <f>'[10]Div 091'!F97</f>
        <v>5.44</v>
      </c>
      <c r="H48" s="782">
        <f>'[10]Div 091'!G97</f>
        <v>5.44</v>
      </c>
      <c r="I48" s="782">
        <f>'[10]Div 091'!H97</f>
        <v>5.0999999999999996</v>
      </c>
      <c r="J48" s="123">
        <f>VLOOKUP($B48,'[12]Div 91 forecast'!$D$247:$AF$326,9,FALSE)</f>
        <v>6.1869773296843249</v>
      </c>
      <c r="K48" s="123">
        <f>VLOOKUP($B48,'[12]Div 91 forecast'!$D$247:$AF$326,10,FALSE)</f>
        <v>6.4489675471933596</v>
      </c>
      <c r="L48" s="123">
        <f>VLOOKUP($B48,'[12]Div 91 forecast'!$D$247:$AF$326,11,FALSE)</f>
        <v>6.5214048328155494</v>
      </c>
      <c r="M48" s="123">
        <f>VLOOKUP($B48,'[12]Div 91 forecast'!$D$247:$AF$326,12,FALSE)</f>
        <v>7.0539167703624557</v>
      </c>
      <c r="N48" s="123">
        <f>VLOOKUP($B48,'[12]Div 91 forecast'!$D$247:$AF$326,13,FALSE)</f>
        <v>7.4704855450366079</v>
      </c>
      <c r="O48" s="123">
        <f>VLOOKUP($B48,'[12]Div 91 forecast'!$D$247:$AF$326,14,FALSE)</f>
        <v>7.6410285838588194</v>
      </c>
      <c r="P48" s="204">
        <f t="shared" si="2"/>
        <v>79.802780608951139</v>
      </c>
      <c r="Q48" s="204"/>
      <c r="R48" s="204"/>
    </row>
    <row r="49" spans="1:18">
      <c r="A49" s="104">
        <f t="shared" si="1"/>
        <v>36</v>
      </c>
      <c r="B49" s="204"/>
      <c r="C49" s="242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94"/>
      <c r="P49" s="290"/>
      <c r="Q49" s="290"/>
      <c r="R49" s="290"/>
    </row>
    <row r="50" spans="1:18" ht="15.75" thickBot="1">
      <c r="A50" s="104">
        <f t="shared" si="1"/>
        <v>37</v>
      </c>
      <c r="B50" s="290" t="s">
        <v>751</v>
      </c>
      <c r="C50" s="242"/>
      <c r="D50" s="864">
        <f t="shared" ref="D50:O50" si="4">SUM(D14:D49)</f>
        <v>3.9097436399515573E-10</v>
      </c>
      <c r="E50" s="864">
        <f t="shared" si="4"/>
        <v>2.0000000219224212E-2</v>
      </c>
      <c r="F50" s="864">
        <f t="shared" si="4"/>
        <v>-2.0000000749351265E-2</v>
      </c>
      <c r="G50" s="864">
        <f t="shared" si="4"/>
        <v>4.2877257300233396E-10</v>
      </c>
      <c r="H50" s="864">
        <f t="shared" si="4"/>
        <v>1.9999999981737737E-2</v>
      </c>
      <c r="I50" s="864">
        <f t="shared" si="4"/>
        <v>3.8162362159255281E-10</v>
      </c>
      <c r="J50" s="864">
        <f t="shared" si="4"/>
        <v>-7.7832851275161374E-11</v>
      </c>
      <c r="K50" s="864">
        <f t="shared" si="4"/>
        <v>5.3813842271210888E-11</v>
      </c>
      <c r="L50" s="864">
        <f t="shared" si="4"/>
        <v>-2.0647483722768811E-11</v>
      </c>
      <c r="M50" s="864">
        <f t="shared" si="4"/>
        <v>-4.5794479319738457E-11</v>
      </c>
      <c r="N50" s="864">
        <f t="shared" si="4"/>
        <v>1.5395862362765911E-10</v>
      </c>
      <c r="O50" s="864">
        <f t="shared" si="4"/>
        <v>8.6899376583460253E-12</v>
      </c>
      <c r="P50" s="292">
        <f>SUM(P12:P49)</f>
        <v>6045743.919999999</v>
      </c>
      <c r="Q50" s="290"/>
      <c r="R50" s="290"/>
    </row>
    <row r="51" spans="1:18" ht="15.75" thickTop="1">
      <c r="A51" s="104">
        <f t="shared" si="1"/>
        <v>38</v>
      </c>
      <c r="B51" s="290"/>
      <c r="C51" s="242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0"/>
      <c r="Q51" s="290"/>
      <c r="R51" s="290"/>
    </row>
    <row r="52" spans="1:18">
      <c r="A52" s="104">
        <f t="shared" si="1"/>
        <v>39</v>
      </c>
      <c r="B52" s="400">
        <f>B42</f>
        <v>9220</v>
      </c>
      <c r="C52" s="410" t="str">
        <f>C42</f>
        <v>A&amp;G-Administrative expense transferred-Credit</v>
      </c>
      <c r="D52" s="480">
        <f t="shared" ref="D52:K52" si="5">-(D50-D42)</f>
        <v>-755677.72</v>
      </c>
      <c r="E52" s="480">
        <f t="shared" si="5"/>
        <v>-785580.12</v>
      </c>
      <c r="F52" s="480">
        <f t="shared" si="5"/>
        <v>-919770.81999999937</v>
      </c>
      <c r="G52" s="480">
        <f t="shared" si="5"/>
        <v>-721490.00000000023</v>
      </c>
      <c r="H52" s="480">
        <f t="shared" si="5"/>
        <v>-1326376.6600000004</v>
      </c>
      <c r="I52" s="480">
        <f t="shared" si="5"/>
        <v>-697810.13000000012</v>
      </c>
      <c r="J52" s="480">
        <f t="shared" si="5"/>
        <v>-1017790.1900000001</v>
      </c>
      <c r="K52" s="480">
        <f t="shared" si="5"/>
        <v>-916521.27595000016</v>
      </c>
      <c r="L52" s="1126">
        <f>L42</f>
        <v>-1002397.8340699999</v>
      </c>
      <c r="M52" s="1126">
        <f>M42</f>
        <v>-1010687.7516400003</v>
      </c>
      <c r="N52" s="1126">
        <f>N42</f>
        <v>-1017875.4980199998</v>
      </c>
      <c r="O52" s="1126">
        <f>O42</f>
        <v>-1026475.31204</v>
      </c>
      <c r="P52" s="204">
        <f t="shared" ref="P52" si="6">SUM(D52:O52)</f>
        <v>-11198453.311720001</v>
      </c>
      <c r="Q52" s="290"/>
      <c r="R52" s="290"/>
    </row>
    <row r="53" spans="1:18">
      <c r="A53" s="104">
        <f t="shared" si="1"/>
        <v>40</v>
      </c>
      <c r="B53" s="290"/>
      <c r="C53" s="481" t="s">
        <v>200</v>
      </c>
      <c r="D53" s="502">
        <f>D54/D52</f>
        <v>0.49099999931187599</v>
      </c>
      <c r="E53" s="502">
        <f t="shared" ref="E53:I53" si="7">E54/E52</f>
        <v>0.4909999886453339</v>
      </c>
      <c r="F53" s="502">
        <f t="shared" si="7"/>
        <v>0.49099999715146464</v>
      </c>
      <c r="G53" s="502">
        <f t="shared" si="7"/>
        <v>0.49099999999999988</v>
      </c>
      <c r="H53" s="502">
        <f t="shared" si="7"/>
        <v>0.49099999995476379</v>
      </c>
      <c r="I53" s="502">
        <f t="shared" si="7"/>
        <v>0.49100000884194667</v>
      </c>
      <c r="J53" s="502">
        <f>Allocation!$I$17</f>
        <v>0.49090457251500325</v>
      </c>
      <c r="K53" s="502">
        <f>Allocation!$I$17</f>
        <v>0.49090457251500325</v>
      </c>
      <c r="L53" s="502">
        <f>Allocation!$I$17</f>
        <v>0.49090457251500325</v>
      </c>
      <c r="M53" s="502">
        <f>Allocation!$I$17</f>
        <v>0.49090457251500325</v>
      </c>
      <c r="N53" s="502">
        <f>Allocation!$I$17</f>
        <v>0.49090457251500325</v>
      </c>
      <c r="O53" s="502">
        <f>Allocation!$I$17</f>
        <v>0.49090457251500325</v>
      </c>
      <c r="P53" s="502">
        <f t="shared" ref="P53" si="8">P54/P52</f>
        <v>0.49094894086145091</v>
      </c>
      <c r="Q53" s="290"/>
      <c r="R53" s="290"/>
    </row>
    <row r="54" spans="1:18">
      <c r="A54" s="104">
        <f t="shared" si="1"/>
        <v>41</v>
      </c>
      <c r="B54" s="290"/>
      <c r="C54" s="294" t="s">
        <v>215</v>
      </c>
      <c r="D54" s="294">
        <f>-'[14]div 9 monthly 9220'!D$11</f>
        <v>-371037.76</v>
      </c>
      <c r="E54" s="294">
        <f>-'[14]div 9 monthly 9220'!E$11</f>
        <v>-385719.83</v>
      </c>
      <c r="F54" s="294">
        <f>-'[14]div 9 monthly 9220'!F$11</f>
        <v>-451607.47</v>
      </c>
      <c r="G54" s="294">
        <f>-'[14]div 9 monthly 9220'!G$11</f>
        <v>-354251.59</v>
      </c>
      <c r="H54" s="294">
        <f>-'[14]div 9 monthly 9220'!H$11</f>
        <v>-651250.93999999994</v>
      </c>
      <c r="I54" s="294">
        <f>-'[14]div 9 monthly 9220'!I$11</f>
        <v>-342624.78</v>
      </c>
      <c r="J54" s="294">
        <f t="shared" ref="J54:O54" si="9">J52*J53</f>
        <v>-499637.85813191393</v>
      </c>
      <c r="K54" s="294">
        <f t="shared" si="9"/>
        <v>-449924.48517114017</v>
      </c>
      <c r="L54" s="294">
        <f t="shared" si="9"/>
        <v>-492081.68022409844</v>
      </c>
      <c r="M54" s="294">
        <f t="shared" si="9"/>
        <v>-496151.23866498412</v>
      </c>
      <c r="N54" s="294">
        <f t="shared" si="9"/>
        <v>-499679.73622900405</v>
      </c>
      <c r="O54" s="294">
        <f t="shared" si="9"/>
        <v>-503901.42425420077</v>
      </c>
      <c r="P54" s="204">
        <f>SUM(D54:O54)</f>
        <v>-5497868.7926753415</v>
      </c>
      <c r="Q54" s="290"/>
      <c r="R54" s="290"/>
    </row>
    <row r="55" spans="1:18">
      <c r="A55" s="290"/>
      <c r="B55" s="290"/>
      <c r="C55" s="242"/>
      <c r="D55" s="863"/>
      <c r="E55" s="863"/>
      <c r="F55" s="863"/>
      <c r="G55" s="863"/>
      <c r="H55" s="863"/>
      <c r="I55" s="863"/>
      <c r="J55" s="297"/>
      <c r="K55" s="296"/>
      <c r="L55" s="296"/>
      <c r="M55" s="296"/>
      <c r="N55" s="297"/>
      <c r="O55" s="296"/>
      <c r="P55" s="296"/>
      <c r="Q55" s="290"/>
      <c r="R55" s="290"/>
    </row>
    <row r="56" spans="1:18">
      <c r="A56" s="290"/>
      <c r="B56" s="290"/>
      <c r="C56" s="242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7"/>
      <c r="O56" s="296"/>
      <c r="P56" s="290"/>
      <c r="Q56" s="290"/>
      <c r="R56" s="290"/>
    </row>
    <row r="57" spans="1:18">
      <c r="A57" s="290"/>
      <c r="B57" s="290" t="s">
        <v>578</v>
      </c>
      <c r="C57" s="242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7"/>
      <c r="O57" s="296"/>
      <c r="P57" s="290"/>
      <c r="Q57" s="290"/>
      <c r="R57" s="290"/>
    </row>
    <row r="58" spans="1:18">
      <c r="A58" s="290"/>
      <c r="B58" s="290"/>
      <c r="C58" s="242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7"/>
      <c r="O58" s="296"/>
      <c r="P58" s="290"/>
      <c r="Q58" s="290"/>
      <c r="R58" s="290"/>
    </row>
    <row r="59" spans="1:18">
      <c r="A59" s="29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7"/>
      <c r="O59" s="296"/>
      <c r="P59" s="290"/>
      <c r="Q59" s="290"/>
      <c r="R59" s="290"/>
    </row>
    <row r="60" spans="1:18">
      <c r="A60" s="290"/>
      <c r="B60" s="290" t="s">
        <v>972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7"/>
      <c r="O60" s="296"/>
      <c r="P60" s="290"/>
      <c r="Q60" s="290"/>
      <c r="R60" s="290"/>
    </row>
    <row r="61" spans="1:18">
      <c r="A61" s="290"/>
      <c r="B61" s="290" t="s">
        <v>1625</v>
      </c>
      <c r="C61" s="294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7"/>
      <c r="O61" s="296"/>
      <c r="P61" s="290"/>
      <c r="Q61" s="960"/>
      <c r="R61" s="290"/>
    </row>
    <row r="62" spans="1:18">
      <c r="A62" s="290"/>
      <c r="B62" s="1" t="s">
        <v>1397</v>
      </c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7"/>
      <c r="O62" s="296"/>
      <c r="P62" s="290"/>
      <c r="Q62" s="290"/>
      <c r="R62" s="290"/>
    </row>
    <row r="63" spans="1:18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7"/>
      <c r="O63" s="296"/>
      <c r="P63" s="290"/>
      <c r="Q63" s="290"/>
      <c r="R63" s="290"/>
    </row>
    <row r="64" spans="1:18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7"/>
      <c r="O64" s="296"/>
      <c r="P64" s="290"/>
      <c r="Q64" s="290"/>
      <c r="R64" s="290"/>
    </row>
    <row r="65" spans="1:18">
      <c r="A65" s="290"/>
      <c r="B65" s="290"/>
      <c r="C65" s="771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7"/>
      <c r="O65" s="296"/>
      <c r="P65" s="290"/>
      <c r="Q65" s="771"/>
      <c r="R65" s="290"/>
    </row>
    <row r="66" spans="1:18">
      <c r="A66" s="290"/>
      <c r="B66" s="290"/>
      <c r="C66" s="290"/>
      <c r="D66" s="290"/>
      <c r="E66" s="294"/>
      <c r="F66" s="294"/>
      <c r="G66" s="294"/>
      <c r="H66" s="294"/>
      <c r="I66" s="294"/>
      <c r="J66" s="294"/>
      <c r="K66" s="294"/>
      <c r="L66" s="290"/>
      <c r="M66" s="290"/>
      <c r="N66" s="294"/>
      <c r="O66" s="619"/>
      <c r="P66" s="294"/>
      <c r="Q66" s="290"/>
      <c r="R66" s="290"/>
    </row>
    <row r="67" spans="1:18">
      <c r="A67" s="290"/>
      <c r="B67" s="290"/>
      <c r="C67" s="290"/>
      <c r="D67" s="290"/>
      <c r="E67" s="290"/>
      <c r="F67" s="290"/>
      <c r="G67" s="290"/>
      <c r="H67" s="290"/>
      <c r="I67" s="294"/>
      <c r="J67" s="294"/>
      <c r="K67" s="294"/>
      <c r="L67" s="290"/>
      <c r="M67" s="290"/>
      <c r="N67" s="294"/>
      <c r="O67" s="233"/>
      <c r="P67" s="294"/>
      <c r="Q67" s="290"/>
      <c r="R67" s="290"/>
    </row>
    <row r="68" spans="1:18">
      <c r="A68" s="290"/>
      <c r="B68" s="290"/>
      <c r="C68" s="290"/>
      <c r="D68" s="290"/>
      <c r="E68" s="290"/>
      <c r="F68" s="290"/>
      <c r="G68" s="290"/>
      <c r="H68" s="290"/>
      <c r="I68" s="294"/>
      <c r="J68" s="294"/>
      <c r="K68" s="294"/>
      <c r="L68" s="290"/>
      <c r="M68" s="290"/>
      <c r="N68" s="294"/>
      <c r="O68" s="233"/>
      <c r="P68" s="294"/>
      <c r="Q68" s="290"/>
      <c r="R68" s="290"/>
    </row>
    <row r="69" spans="1:18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4"/>
      <c r="O69" s="290"/>
      <c r="P69" s="290"/>
      <c r="Q69" s="290"/>
      <c r="R69" s="290"/>
    </row>
    <row r="70" spans="1:18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4"/>
      <c r="O70" s="290"/>
      <c r="P70" s="290"/>
      <c r="Q70" s="290"/>
      <c r="R70" s="290"/>
    </row>
    <row r="71" spans="1:18">
      <c r="E71" s="1058"/>
      <c r="F71" s="1058"/>
      <c r="G71" s="1058"/>
      <c r="H71" s="1058"/>
      <c r="I71" s="1058"/>
      <c r="J71" s="1058"/>
      <c r="K71" s="1058"/>
    </row>
    <row r="72" spans="1:18">
      <c r="C72" s="77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58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7"/>
  <sheetViews>
    <sheetView view="pageBreakPreview" zoomScale="60" zoomScaleNormal="75" workbookViewId="0">
      <pane xSplit="3" ySplit="10" topLeftCell="D11" activePane="bottomRight" state="frozen"/>
      <selection activeCell="E55" sqref="E55"/>
      <selection pane="topRight" activeCell="E55" sqref="E55"/>
      <selection pane="bottomLeft" activeCell="E55" sqref="E55"/>
      <selection pane="bottomRight" activeCell="L49" sqref="L49"/>
    </sheetView>
  </sheetViews>
  <sheetFormatPr defaultColWidth="7.109375" defaultRowHeight="15"/>
  <cols>
    <col min="1" max="1" width="4.6640625" customWidth="1"/>
    <col min="2" max="2" width="9.109375" customWidth="1"/>
    <col min="3" max="3" width="42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5.21875" customWidth="1"/>
    <col min="10" max="10" width="12.5546875" customWidth="1"/>
    <col min="11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3.44140625" bestFit="1" customWidth="1"/>
    <col min="17" max="17" width="12.44140625" customWidth="1"/>
    <col min="18" max="18" width="10" customWidth="1"/>
    <col min="19" max="19" width="13.109375" customWidth="1"/>
    <col min="20" max="20" width="11.21875" customWidth="1"/>
  </cols>
  <sheetData>
    <row r="1" spans="1:20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  <c r="R1" s="1"/>
      <c r="S1" s="1"/>
    </row>
    <row r="2" spans="1:20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R2" s="1"/>
      <c r="S2" s="1"/>
    </row>
    <row r="3" spans="1:20">
      <c r="A3" s="1259" t="s">
        <v>432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  <c r="R3" s="1"/>
      <c r="S3" s="1"/>
    </row>
    <row r="4" spans="1:20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  <c r="R4" s="1"/>
      <c r="S4" s="1"/>
    </row>
    <row r="5" spans="1:20">
      <c r="A5" s="77"/>
      <c r="B5" s="77"/>
      <c r="C5" s="77"/>
      <c r="D5" s="1047"/>
      <c r="E5" s="105"/>
      <c r="F5" s="1047"/>
      <c r="G5" s="1006"/>
      <c r="H5" s="1006"/>
      <c r="I5" s="1006"/>
      <c r="J5" s="1006"/>
      <c r="K5" s="1006"/>
      <c r="L5" s="1047"/>
      <c r="M5" s="920"/>
      <c r="N5" s="1047"/>
      <c r="O5" s="105"/>
      <c r="P5" s="77"/>
      <c r="Q5" s="1"/>
      <c r="R5" s="1"/>
      <c r="S5" s="1"/>
    </row>
    <row r="6" spans="1:20">
      <c r="A6" s="4" t="str">
        <f>'C.2.1 F'!A6</f>
        <v>Data:________Base Period___X____Forecasted Period</v>
      </c>
      <c r="B6" s="1"/>
      <c r="C6" s="7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07"/>
      <c r="P6" s="233" t="s">
        <v>1524</v>
      </c>
      <c r="Q6" s="1"/>
      <c r="R6" s="1"/>
      <c r="S6" s="1"/>
    </row>
    <row r="7" spans="1:20">
      <c r="A7" s="4" t="str">
        <f>'C.2.1 F'!A7</f>
        <v>Type of Filing:___X____Original________Updated ________Revised</v>
      </c>
      <c r="B7" s="1"/>
      <c r="C7" s="7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73" t="s">
        <v>38</v>
      </c>
      <c r="Q7" s="1"/>
      <c r="R7" s="1"/>
      <c r="S7" s="1"/>
    </row>
    <row r="8" spans="1:20">
      <c r="A8" s="73" t="str">
        <f>'C.2.1 F'!A8</f>
        <v>Workpaper Reference No(s).____________________</v>
      </c>
      <c r="B8" s="1"/>
      <c r="C8" s="79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674" t="str">
        <f>'C.2.2 B 09'!P8</f>
        <v>Witness: Waller, Smith</v>
      </c>
      <c r="Q8" s="1"/>
      <c r="R8" s="1"/>
      <c r="S8" s="1"/>
    </row>
    <row r="9" spans="1:20">
      <c r="A9" s="641" t="s">
        <v>98</v>
      </c>
      <c r="B9" s="439" t="s">
        <v>105</v>
      </c>
      <c r="C9" s="67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677"/>
      <c r="Q9" s="77"/>
      <c r="R9" s="77"/>
      <c r="S9" s="77"/>
    </row>
    <row r="10" spans="1:20">
      <c r="A10" s="643" t="s">
        <v>104</v>
      </c>
      <c r="B10" s="80" t="s">
        <v>104</v>
      </c>
      <c r="C10" s="676" t="s">
        <v>971</v>
      </c>
      <c r="D10" s="450">
        <v>42551</v>
      </c>
      <c r="E10" s="450">
        <v>42582</v>
      </c>
      <c r="F10" s="450">
        <v>42613</v>
      </c>
      <c r="G10" s="450">
        <v>42643</v>
      </c>
      <c r="H10" s="450">
        <v>42674</v>
      </c>
      <c r="I10" s="450">
        <v>42704</v>
      </c>
      <c r="J10" s="450">
        <v>42735</v>
      </c>
      <c r="K10" s="450">
        <v>42766</v>
      </c>
      <c r="L10" s="450">
        <v>42794</v>
      </c>
      <c r="M10" s="450">
        <v>42825</v>
      </c>
      <c r="N10" s="450">
        <v>42855</v>
      </c>
      <c r="O10" s="450">
        <v>42886</v>
      </c>
      <c r="P10" s="467" t="s">
        <v>101</v>
      </c>
      <c r="Q10" s="299"/>
      <c r="R10" s="77"/>
      <c r="S10" s="77"/>
    </row>
    <row r="11" spans="1:20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  <c r="R11" s="1"/>
      <c r="S11" s="1"/>
    </row>
    <row r="12" spans="1:20">
      <c r="A12" s="780">
        <v>1</v>
      </c>
      <c r="B12" s="468">
        <v>4091</v>
      </c>
      <c r="C12" s="1116" t="s">
        <v>684</v>
      </c>
      <c r="D12" s="520">
        <f>E!$G$23/12</f>
        <v>929312.28534537402</v>
      </c>
      <c r="E12" s="520">
        <f>E!$G$23/12</f>
        <v>929312.28534537402</v>
      </c>
      <c r="F12" s="520">
        <f>E!$G$23/12</f>
        <v>929312.28534537402</v>
      </c>
      <c r="G12" s="520">
        <f>E!$G$23/12</f>
        <v>929312.28534537402</v>
      </c>
      <c r="H12" s="520">
        <f>E!$G$23/12</f>
        <v>929312.28534537402</v>
      </c>
      <c r="I12" s="520">
        <f>E!$G$23/12</f>
        <v>929312.28534537402</v>
      </c>
      <c r="J12" s="520">
        <f>E!$G$23/12</f>
        <v>929312.28534537402</v>
      </c>
      <c r="K12" s="520">
        <f>E!$G$23/12</f>
        <v>929312.28534537402</v>
      </c>
      <c r="L12" s="520">
        <f>E!$G$23/12</f>
        <v>929312.28534537402</v>
      </c>
      <c r="M12" s="520">
        <f>E!$G$23/12</f>
        <v>929312.28534537402</v>
      </c>
      <c r="N12" s="520">
        <f>E!$G$23/12</f>
        <v>929312.28534537402</v>
      </c>
      <c r="O12" s="520">
        <f>E!$G$23/12</f>
        <v>929312.28534537402</v>
      </c>
      <c r="P12" s="107">
        <f>SUM(D12:O12)</f>
        <v>11151747.424144486</v>
      </c>
      <c r="Q12" s="771"/>
      <c r="S12" s="771"/>
    </row>
    <row r="13" spans="1:20">
      <c r="A13" s="780">
        <f>A12+1</f>
        <v>2</v>
      </c>
      <c r="B13" s="468"/>
      <c r="C13" s="28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107"/>
      <c r="Q13" s="1"/>
      <c r="S13" s="1"/>
    </row>
    <row r="14" spans="1:20">
      <c r="A14" s="1113">
        <f t="shared" ref="A14:A77" si="0">A13+1</f>
        <v>3</v>
      </c>
      <c r="B14" s="468">
        <v>4030</v>
      </c>
      <c r="C14" s="1" t="s">
        <v>96</v>
      </c>
      <c r="D14" s="123">
        <f>'B.3.1 F'!$H$228/12</f>
        <v>1616334.9605339218</v>
      </c>
      <c r="E14" s="123">
        <f>'B.3.1 F'!$H$228/12</f>
        <v>1616334.9605339218</v>
      </c>
      <c r="F14" s="123">
        <f>'B.3.1 F'!$H$228/12</f>
        <v>1616334.9605339218</v>
      </c>
      <c r="G14" s="123">
        <f>'B.3.1 F'!$H$228/12</f>
        <v>1616334.9605339218</v>
      </c>
      <c r="H14" s="123">
        <f>'B.3.1 F'!$H$228/12</f>
        <v>1616334.9605339218</v>
      </c>
      <c r="I14" s="123">
        <f>'B.3.1 F'!$H$228/12</f>
        <v>1616334.9605339218</v>
      </c>
      <c r="J14" s="123">
        <f>'B.3.1 F'!$H$228/12</f>
        <v>1616334.9605339218</v>
      </c>
      <c r="K14" s="123">
        <f>'B.3.1 F'!$H$228/12</f>
        <v>1616334.9605339218</v>
      </c>
      <c r="L14" s="123">
        <f>'B.3.1 F'!$H$228/12</f>
        <v>1616334.9605339218</v>
      </c>
      <c r="M14" s="123">
        <f>'B.3.1 F'!$H$228/12</f>
        <v>1616334.9605339218</v>
      </c>
      <c r="N14" s="123">
        <f>'B.3.1 F'!$H$228/12</f>
        <v>1616334.9605339218</v>
      </c>
      <c r="O14" s="123">
        <f>'B.3.1 F'!$H$228/12</f>
        <v>1616334.9605339218</v>
      </c>
      <c r="P14" s="107">
        <f t="shared" ref="P14:P23" si="1">SUM(D14:O14)</f>
        <v>19396019.526407063</v>
      </c>
      <c r="Q14" s="771"/>
      <c r="S14" s="771"/>
    </row>
    <row r="15" spans="1:20">
      <c r="A15" s="1113">
        <f t="shared" si="0"/>
        <v>4</v>
      </c>
      <c r="B15" s="468">
        <v>4060</v>
      </c>
      <c r="C15" s="1" t="s">
        <v>879</v>
      </c>
      <c r="D15" s="123">
        <f>'C.2.2 B 09'!O15</f>
        <v>4037.2</v>
      </c>
      <c r="E15" s="123">
        <f>D15</f>
        <v>4037.2</v>
      </c>
      <c r="F15" s="123">
        <f t="shared" ref="F15:O15" si="2">E15</f>
        <v>4037.2</v>
      </c>
      <c r="G15" s="123">
        <f t="shared" si="2"/>
        <v>4037.2</v>
      </c>
      <c r="H15" s="123">
        <f t="shared" si="2"/>
        <v>4037.2</v>
      </c>
      <c r="I15" s="123">
        <f t="shared" si="2"/>
        <v>4037.2</v>
      </c>
      <c r="J15" s="123">
        <f t="shared" si="2"/>
        <v>4037.2</v>
      </c>
      <c r="K15" s="123">
        <f t="shared" si="2"/>
        <v>4037.2</v>
      </c>
      <c r="L15" s="123">
        <f t="shared" si="2"/>
        <v>4037.2</v>
      </c>
      <c r="M15" s="123">
        <f t="shared" si="2"/>
        <v>4037.2</v>
      </c>
      <c r="N15" s="123">
        <f t="shared" si="2"/>
        <v>4037.2</v>
      </c>
      <c r="O15" s="123">
        <f t="shared" si="2"/>
        <v>4037.2</v>
      </c>
      <c r="P15" s="107">
        <f t="shared" si="1"/>
        <v>48446.399999999994</v>
      </c>
      <c r="Q15" s="1"/>
      <c r="S15" s="1"/>
    </row>
    <row r="16" spans="1:20">
      <c r="A16" s="1113">
        <f t="shared" si="0"/>
        <v>5</v>
      </c>
      <c r="B16" s="468">
        <v>4081</v>
      </c>
      <c r="C16" s="204" t="s">
        <v>880</v>
      </c>
      <c r="D16" s="123">
        <f>'C.2.3 F'!C25</f>
        <v>474078.58412594919</v>
      </c>
      <c r="E16" s="123">
        <f>'C.2.3 F'!D25</f>
        <v>496683.80826868454</v>
      </c>
      <c r="F16" s="123">
        <f>'C.2.3 F'!E25</f>
        <v>477532.59479307721</v>
      </c>
      <c r="G16" s="123">
        <f>'C.2.3 F'!F25</f>
        <v>475466.46204850817</v>
      </c>
      <c r="H16" s="123">
        <f>'C.2.3 F'!G25</f>
        <v>530426.63686514727</v>
      </c>
      <c r="I16" s="123">
        <f>'C.2.3 F'!H25</f>
        <v>515122.87686514732</v>
      </c>
      <c r="J16" s="123">
        <f>'C.2.3 F'!I25</f>
        <v>479903.18686514732</v>
      </c>
      <c r="K16" s="123">
        <f>'C.2.3 F'!J25</f>
        <v>538468.69686514733</v>
      </c>
      <c r="L16" s="123">
        <f>'C.2.3 F'!K25</f>
        <v>491713.02686514729</v>
      </c>
      <c r="M16" s="123">
        <f>'C.2.3 F'!L25</f>
        <v>499474.1549545477</v>
      </c>
      <c r="N16" s="123">
        <f>'C.2.3 F'!M25</f>
        <v>594132.68837168661</v>
      </c>
      <c r="O16" s="123">
        <f>'C.2.3 F'!N25</f>
        <v>527217.4358050864</v>
      </c>
      <c r="P16" s="107">
        <f t="shared" si="1"/>
        <v>6100220.1526932763</v>
      </c>
      <c r="Q16" s="890"/>
      <c r="S16" s="890"/>
      <c r="T16" s="106"/>
    </row>
    <row r="17" spans="1:19">
      <c r="A17" s="1113">
        <f t="shared" si="0"/>
        <v>6</v>
      </c>
      <c r="B17" s="468">
        <v>4800</v>
      </c>
      <c r="C17" s="469" t="s">
        <v>881</v>
      </c>
      <c r="D17" s="123">
        <f>-'[6]Summary of Revenue'!T11</f>
        <v>-4201268.6228973651</v>
      </c>
      <c r="E17" s="123">
        <f>-'[6]Summary of Revenue'!U11</f>
        <v>-3877378.1406009444</v>
      </c>
      <c r="F17" s="123">
        <f>-'[6]Summary of Revenue'!V11</f>
        <v>-3821140.5303760283</v>
      </c>
      <c r="G17" s="123">
        <f>-'[6]Summary of Revenue'!W11</f>
        <v>-3845344.2182956291</v>
      </c>
      <c r="H17" s="123">
        <f>-'[6]Summary of Revenue'!X11</f>
        <v>-4867276.7173198052</v>
      </c>
      <c r="I17" s="123">
        <f>-'[6]Summary of Revenue'!Y11</f>
        <v>-8345706.3607764542</v>
      </c>
      <c r="J17" s="123">
        <f>-'[6]Summary of Revenue'!Z11</f>
        <v>-12478366.792133136</v>
      </c>
      <c r="K17" s="123">
        <f>-'[6]Summary of Revenue'!AA11</f>
        <v>-14143816.410609035</v>
      </c>
      <c r="L17" s="123">
        <f>-'[6]Summary of Revenue'!AB11</f>
        <v>-13587612.431186128</v>
      </c>
      <c r="M17" s="123">
        <f>-'[6]Summary of Revenue'!AC11</f>
        <v>-12857074.65086887</v>
      </c>
      <c r="N17" s="123">
        <f>-'[6]Summary of Revenue'!AD11</f>
        <v>-8294818.5120518543</v>
      </c>
      <c r="O17" s="123">
        <f>-'[6]Summary of Revenue'!AE11</f>
        <v>-5503226.438238184</v>
      </c>
      <c r="P17" s="123">
        <f t="shared" si="1"/>
        <v>-95823029.825353429</v>
      </c>
    </row>
    <row r="18" spans="1:19" s="1058" customFormat="1">
      <c r="A18" s="1113">
        <f t="shared" si="0"/>
        <v>7</v>
      </c>
      <c r="B18" s="1061">
        <v>4805</v>
      </c>
      <c r="C18" s="474" t="s">
        <v>1357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</row>
    <row r="19" spans="1:19">
      <c r="A19" s="1113">
        <f t="shared" si="0"/>
        <v>8</v>
      </c>
      <c r="B19" s="468">
        <v>4811</v>
      </c>
      <c r="C19" s="474" t="s">
        <v>1446</v>
      </c>
      <c r="D19" s="123">
        <f>-'[6]Summary of Revenue'!T12</f>
        <v>-1840387.2281287462</v>
      </c>
      <c r="E19" s="123">
        <f>-'[6]Summary of Revenue'!U12</f>
        <v>-1721802.6777845549</v>
      </c>
      <c r="F19" s="123">
        <f>-'[6]Summary of Revenue'!V12</f>
        <v>-1690360.4602324376</v>
      </c>
      <c r="G19" s="123">
        <f>-'[6]Summary of Revenue'!W12</f>
        <v>-1697937.2651399029</v>
      </c>
      <c r="H19" s="123">
        <f>-'[6]Summary of Revenue'!X12</f>
        <v>-2075771.1460299401</v>
      </c>
      <c r="I19" s="123">
        <f>-'[6]Summary of Revenue'!Y12</f>
        <v>-3426761.7529234421</v>
      </c>
      <c r="J19" s="123">
        <f>-'[6]Summary of Revenue'!Z12</f>
        <v>-5072886.3369821701</v>
      </c>
      <c r="K19" s="123">
        <f>-'[6]Summary of Revenue'!AA12</f>
        <v>-5747048.040673296</v>
      </c>
      <c r="L19" s="123">
        <f>-'[6]Summary of Revenue'!AB12</f>
        <v>-5642685.2126848055</v>
      </c>
      <c r="M19" s="123">
        <f>-'[6]Summary of Revenue'!AC12</f>
        <v>-5127401.3287257254</v>
      </c>
      <c r="N19" s="123">
        <f>-'[6]Summary of Revenue'!AD12</f>
        <v>-3455972.9054769436</v>
      </c>
      <c r="O19" s="123">
        <f>-'[6]Summary of Revenue'!AE12</f>
        <v>-2363430.8658952895</v>
      </c>
      <c r="P19" s="123">
        <f t="shared" si="1"/>
        <v>-39862445.220677249</v>
      </c>
    </row>
    <row r="20" spans="1:19">
      <c r="A20" s="1113">
        <f t="shared" si="0"/>
        <v>9</v>
      </c>
      <c r="B20" s="468">
        <v>4812</v>
      </c>
      <c r="C20" s="107" t="s">
        <v>1447</v>
      </c>
      <c r="D20" s="123">
        <f>-'[6]Summary of Revenue'!T13</f>
        <v>-248583.40862098554</v>
      </c>
      <c r="E20" s="123">
        <f>-'[6]Summary of Revenue'!U13</f>
        <v>-152992.77479779642</v>
      </c>
      <c r="F20" s="123">
        <f>-'[6]Summary of Revenue'!V13</f>
        <v>-213968.12308367409</v>
      </c>
      <c r="G20" s="123">
        <f>-'[6]Summary of Revenue'!W13</f>
        <v>-170704.17731956393</v>
      </c>
      <c r="H20" s="123">
        <f>-'[6]Summary of Revenue'!X13</f>
        <v>-236478.17521546903</v>
      </c>
      <c r="I20" s="123">
        <f>-'[6]Summary of Revenue'!Y13</f>
        <v>-306081.07370747271</v>
      </c>
      <c r="J20" s="123">
        <f>-'[6]Summary of Revenue'!Z13</f>
        <v>-575973.29941798933</v>
      </c>
      <c r="K20" s="123">
        <f>-'[6]Summary of Revenue'!AA13</f>
        <v>-753210.0668626983</v>
      </c>
      <c r="L20" s="123">
        <f>-'[6]Summary of Revenue'!AB13</f>
        <v>-591797.78317842353</v>
      </c>
      <c r="M20" s="123">
        <f>-'[6]Summary of Revenue'!AC13</f>
        <v>-960768.12766470993</v>
      </c>
      <c r="N20" s="123">
        <f>-'[6]Summary of Revenue'!AD13</f>
        <v>-361428.99045902566</v>
      </c>
      <c r="O20" s="123">
        <f>-'[6]Summary of Revenue'!AE13</f>
        <v>-308541.23944735265</v>
      </c>
      <c r="P20" s="123">
        <f t="shared" si="1"/>
        <v>-4880527.2397751613</v>
      </c>
      <c r="Q20" s="1"/>
      <c r="R20" s="771"/>
    </row>
    <row r="21" spans="1:19" s="1058" customFormat="1">
      <c r="A21" s="1113">
        <f t="shared" si="0"/>
        <v>10</v>
      </c>
      <c r="B21" s="396">
        <v>4815</v>
      </c>
      <c r="C21" s="287" t="s">
        <v>1358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"/>
      <c r="R21" s="771"/>
    </row>
    <row r="22" spans="1:19" s="1058" customFormat="1">
      <c r="A22" s="1113">
        <f t="shared" si="0"/>
        <v>11</v>
      </c>
      <c r="B22" s="396">
        <v>4816</v>
      </c>
      <c r="C22" s="287" t="s">
        <v>1390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"/>
      <c r="R22" s="771"/>
    </row>
    <row r="23" spans="1:19" ht="15.75">
      <c r="A23" s="1113">
        <f t="shared" si="0"/>
        <v>12</v>
      </c>
      <c r="B23" s="468">
        <v>4820</v>
      </c>
      <c r="C23" s="107" t="s">
        <v>882</v>
      </c>
      <c r="D23" s="123">
        <f>-'[6]Summary of Revenue'!T14</f>
        <v>-263072.62355836708</v>
      </c>
      <c r="E23" s="123">
        <f>-'[6]Summary of Revenue'!U14</f>
        <v>-238326.25035950949</v>
      </c>
      <c r="F23" s="123">
        <f>-'[6]Summary of Revenue'!V14</f>
        <v>-230068.91782624542</v>
      </c>
      <c r="G23" s="123">
        <f>-'[6]Summary of Revenue'!W14</f>
        <v>-239375.29734039362</v>
      </c>
      <c r="H23" s="123">
        <f>-'[6]Summary of Revenue'!X14</f>
        <v>-334521.73625627509</v>
      </c>
      <c r="I23" s="123">
        <f>-'[6]Summary of Revenue'!Y14</f>
        <v>-637713.83683892328</v>
      </c>
      <c r="J23" s="123">
        <f>-'[6]Summary of Revenue'!Z14</f>
        <v>-992365.42750667315</v>
      </c>
      <c r="K23" s="123">
        <f>-'[6]Summary of Revenue'!AA14</f>
        <v>-1141046.8454879541</v>
      </c>
      <c r="L23" s="123">
        <f>-'[6]Summary of Revenue'!AB14</f>
        <v>-1085110.9884618123</v>
      </c>
      <c r="M23" s="123">
        <f>-'[6]Summary of Revenue'!AC14</f>
        <v>-1031152.8350119655</v>
      </c>
      <c r="N23" s="123">
        <f>-'[6]Summary of Revenue'!AD14</f>
        <v>-619398.38989390922</v>
      </c>
      <c r="O23" s="123">
        <f>-'[6]Summary of Revenue'!AE14</f>
        <v>-377455.89542681194</v>
      </c>
      <c r="P23" s="123">
        <f t="shared" si="1"/>
        <v>-7189609.0439688396</v>
      </c>
      <c r="Q23" s="107"/>
      <c r="R23" s="826"/>
    </row>
    <row r="24" spans="1:19" s="1058" customFormat="1" ht="15.75">
      <c r="A24" s="1113">
        <f t="shared" si="0"/>
        <v>13</v>
      </c>
      <c r="B24" s="396">
        <v>4825</v>
      </c>
      <c r="C24" s="287" t="s">
        <v>1359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07"/>
      <c r="R24" s="826"/>
    </row>
    <row r="25" spans="1:19">
      <c r="A25" s="1113">
        <f t="shared" si="0"/>
        <v>14</v>
      </c>
      <c r="B25" s="468">
        <v>4870</v>
      </c>
      <c r="C25" s="1" t="s">
        <v>235</v>
      </c>
      <c r="D25" s="123">
        <f>-'[6]Summary of Revenue'!T18</f>
        <v>-64359.484880450655</v>
      </c>
      <c r="E25" s="123">
        <f>-'[6]Summary of Revenue'!U18</f>
        <v>-50430.816667139916</v>
      </c>
      <c r="F25" s="123">
        <f>-'[6]Summary of Revenue'!V18</f>
        <v>-46693.460565744826</v>
      </c>
      <c r="G25" s="123">
        <f>-'[6]Summary of Revenue'!W18</f>
        <v>-45925.383208012761</v>
      </c>
      <c r="H25" s="123">
        <f>-'[6]Summary of Revenue'!X18</f>
        <v>-46253.95138550202</v>
      </c>
      <c r="I25" s="123">
        <f>-'[6]Summary of Revenue'!Y18</f>
        <v>-58211.918307893335</v>
      </c>
      <c r="J25" s="123">
        <f>-'[6]Summary of Revenue'!Z18</f>
        <v>-99267.594643623204</v>
      </c>
      <c r="K25" s="123">
        <f>-'[6]Summary of Revenue'!AA18</f>
        <v>-148251.73521202765</v>
      </c>
      <c r="L25" s="123">
        <f>-'[6]Summary of Revenue'!AB18</f>
        <v>-168154.64563045249</v>
      </c>
      <c r="M25" s="123">
        <f>-'[6]Summary of Revenue'!AC18</f>
        <v>-162432.45197172367</v>
      </c>
      <c r="N25" s="123">
        <f>-'[6]Summary of Revenue'!AD18</f>
        <v>-152013.47087655027</v>
      </c>
      <c r="O25" s="123">
        <f>-'[6]Summary of Revenue'!AE18</f>
        <v>-98892.265646552856</v>
      </c>
      <c r="P25" s="123">
        <f t="shared" ref="P25:P57" si="3">SUM(D25:O25)</f>
        <v>-1140887.1789956738</v>
      </c>
      <c r="Q25" s="1"/>
      <c r="R25" s="1"/>
    </row>
    <row r="26" spans="1:19">
      <c r="A26" s="1113">
        <f t="shared" si="0"/>
        <v>15</v>
      </c>
      <c r="B26" s="468">
        <v>4880</v>
      </c>
      <c r="C26" s="1" t="s">
        <v>883</v>
      </c>
      <c r="D26" s="123">
        <f>-'[6]Summary of Revenue'!T19</f>
        <v>-53147</v>
      </c>
      <c r="E26" s="123">
        <f>-'[6]Summary of Revenue'!U19</f>
        <v>-52352</v>
      </c>
      <c r="F26" s="123">
        <f>-'[6]Summary of Revenue'!V19</f>
        <v>-49875</v>
      </c>
      <c r="G26" s="123">
        <f>-'[6]Summary of Revenue'!W19</f>
        <v>-61445</v>
      </c>
      <c r="H26" s="123">
        <f>-'[6]Summary of Revenue'!X19</f>
        <v>-120749</v>
      </c>
      <c r="I26" s="123">
        <f>-'[6]Summary of Revenue'!Y19</f>
        <v>-125695</v>
      </c>
      <c r="J26" s="123">
        <f>-'[6]Summary of Revenue'!Z19</f>
        <v>-56798</v>
      </c>
      <c r="K26" s="123">
        <f>-'[6]Summary of Revenue'!AA19</f>
        <v>-53861</v>
      </c>
      <c r="L26" s="123">
        <f>-'[6]Summary of Revenue'!AB19</f>
        <v>-48764</v>
      </c>
      <c r="M26" s="123">
        <f>-'[6]Summary of Revenue'!AC19</f>
        <v>-61274</v>
      </c>
      <c r="N26" s="123">
        <f>-'[6]Summary of Revenue'!AD19</f>
        <v>-55115</v>
      </c>
      <c r="O26" s="123">
        <f>-'[6]Summary of Revenue'!AE19</f>
        <v>-56750</v>
      </c>
      <c r="P26" s="123">
        <f t="shared" si="3"/>
        <v>-795825</v>
      </c>
      <c r="Q26" s="1"/>
      <c r="R26" s="1"/>
    </row>
    <row r="27" spans="1:19">
      <c r="A27" s="1113">
        <f t="shared" si="0"/>
        <v>16</v>
      </c>
      <c r="B27" s="468">
        <v>4893</v>
      </c>
      <c r="C27" s="1" t="s">
        <v>884</v>
      </c>
      <c r="D27" s="123">
        <f>-'[6]Summary of Revenue'!T20</f>
        <v>-1054709.8433999999</v>
      </c>
      <c r="E27" s="123">
        <f>-'[6]Summary of Revenue'!U20</f>
        <v>-1013351.0695</v>
      </c>
      <c r="F27" s="123">
        <f>-'[6]Summary of Revenue'!V20</f>
        <v>-1068158.5239000001</v>
      </c>
      <c r="G27" s="123">
        <f>-'[6]Summary of Revenue'!W20</f>
        <v>-1050910.6894999999</v>
      </c>
      <c r="H27" s="123">
        <f>-'[6]Summary of Revenue'!X20</f>
        <v>-1190909.3454499999</v>
      </c>
      <c r="I27" s="123">
        <f>-'[6]Summary of Revenue'!Y20</f>
        <v>-1319362.7035000001</v>
      </c>
      <c r="J27" s="123">
        <f>-'[6]Summary of Revenue'!Z20</f>
        <v>-1329060.5179000003</v>
      </c>
      <c r="K27" s="123">
        <f>-'[6]Summary of Revenue'!AA20</f>
        <v>-1473667.6765999999</v>
      </c>
      <c r="L27" s="123">
        <f>-'[6]Summary of Revenue'!AB20</f>
        <v>-1424542.7038</v>
      </c>
      <c r="M27" s="123">
        <f>-'[6]Summary of Revenue'!AC20</f>
        <v>-1335401.2275</v>
      </c>
      <c r="N27" s="123">
        <f>-'[6]Summary of Revenue'!AD20</f>
        <v>-1140627.9108</v>
      </c>
      <c r="O27" s="123">
        <f>-'[6]Summary of Revenue'!AE20</f>
        <v>-1092901.6943000001</v>
      </c>
      <c r="P27" s="123">
        <f t="shared" si="3"/>
        <v>-14493603.90615</v>
      </c>
      <c r="Q27" s="966"/>
    </row>
    <row r="28" spans="1:19">
      <c r="A28" s="1113">
        <f t="shared" si="0"/>
        <v>17</v>
      </c>
      <c r="B28" s="468">
        <v>4950</v>
      </c>
      <c r="C28" s="1" t="s">
        <v>678</v>
      </c>
      <c r="D28" s="123">
        <f>-'[6]Summary of Revenue'!T21</f>
        <v>-198243.80750000002</v>
      </c>
      <c r="E28" s="123">
        <f>-'[6]Summary of Revenue'!U21</f>
        <v>-198681.44750000004</v>
      </c>
      <c r="F28" s="123">
        <f>-'[6]Summary of Revenue'!V21</f>
        <v>-207453.83249999999</v>
      </c>
      <c r="G28" s="123">
        <f>-'[6]Summary of Revenue'!W21</f>
        <v>-197356.58499999999</v>
      </c>
      <c r="H28" s="123">
        <f>-'[6]Summary of Revenue'!X21</f>
        <v>-213502.51250000004</v>
      </c>
      <c r="I28" s="123">
        <f>-'[6]Summary of Revenue'!Y21</f>
        <v>-225558.07250000001</v>
      </c>
      <c r="J28" s="123">
        <f>-'[6]Summary of Revenue'!Z21</f>
        <v>-235550.01249999998</v>
      </c>
      <c r="K28" s="123">
        <f>-'[6]Summary of Revenue'!AA21</f>
        <v>-252288.6275</v>
      </c>
      <c r="L28" s="123">
        <f>-'[6]Summary of Revenue'!AB21</f>
        <v>-241810.63249999995</v>
      </c>
      <c r="M28" s="123">
        <f>-'[6]Summary of Revenue'!AC21</f>
        <v>-227856.71499999997</v>
      </c>
      <c r="N28" s="123">
        <f>-'[6]Summary of Revenue'!AD21</f>
        <v>-214959.52000000002</v>
      </c>
      <c r="O28" s="123">
        <f>-'[6]Summary of Revenue'!AE21</f>
        <v>-205466.29249999998</v>
      </c>
      <c r="P28" s="123">
        <f t="shared" si="3"/>
        <v>-2618728.0574999996</v>
      </c>
      <c r="Q28" s="771"/>
      <c r="R28" s="771"/>
    </row>
    <row r="29" spans="1:19" s="1058" customFormat="1">
      <c r="A29" s="1113">
        <f t="shared" si="0"/>
        <v>18</v>
      </c>
      <c r="B29" s="396">
        <v>7560</v>
      </c>
      <c r="C29" s="106" t="s">
        <v>1455</v>
      </c>
      <c r="D29" s="520">
        <f>VLOOKUP($B29,'[12]Div 9 forecast'!$D$436:$AF$517,18,FALSE)</f>
        <v>8.5329614878992057</v>
      </c>
      <c r="E29" s="520">
        <f>VLOOKUP($B29,'[12]Div 9 forecast'!$D$436:$AF$517,19,FALSE)</f>
        <v>9.1419011785462647</v>
      </c>
      <c r="F29" s="520">
        <f>VLOOKUP($B29,'[12]Div 9 forecast'!$D$436:$AF$517,20,FALSE)</f>
        <v>8.8622999464698538</v>
      </c>
      <c r="G29" s="520">
        <f>VLOOKUP($B29,'[12]Div 9 forecast'!$D$436:$AF$517,21,FALSE)</f>
        <v>8.7899527619551812</v>
      </c>
      <c r="H29" s="520">
        <f>VLOOKUP($B29,'[12]Div 9 forecast'!$D$436:$AF$517,22,FALSE)</f>
        <v>8.8377941224042225</v>
      </c>
      <c r="I29" s="520">
        <f>VLOOKUP($B29,'[12]Div 9 forecast'!$D$436:$AF$517,23,FALSE)</f>
        <v>8.3011196961340818</v>
      </c>
      <c r="J29" s="520">
        <f>VLOOKUP($B29,'[12]Div 9 forecast'!$D$436:$AF$517,24,FALSE)</f>
        <v>8.3669483782588046</v>
      </c>
      <c r="K29" s="520">
        <f>VLOOKUP($B29,'[12]Div 9 forecast'!$D$436:$AF$517,25,FALSE)</f>
        <v>8.2476765586461607</v>
      </c>
      <c r="L29" s="520">
        <f>VLOOKUP($B29,'[12]Div 9 forecast'!$D$436:$AF$517,26,FALSE)</f>
        <v>7.8998085451070725</v>
      </c>
      <c r="M29" s="520">
        <f>VLOOKUP($B29,'[12]Div 9 forecast'!$D$436:$AF$517,27,FALSE)</f>
        <v>8.6376749287450689</v>
      </c>
      <c r="N29" s="520">
        <f>VLOOKUP($B29,'[12]Div 9 forecast'!$D$436:$AF$517,28,FALSE)</f>
        <v>9.7164149065414307</v>
      </c>
      <c r="O29" s="520">
        <f>VLOOKUP($B29,'[12]Div 9 forecast'!$D$436:$AF$517,29,FALSE)</f>
        <v>8.3865780036485287</v>
      </c>
      <c r="P29" s="123">
        <f t="shared" si="3"/>
        <v>103.72113051435586</v>
      </c>
      <c r="Q29" s="1060"/>
      <c r="R29" s="771"/>
    </row>
    <row r="30" spans="1:19" s="1058" customFormat="1">
      <c r="A30" s="1113">
        <f t="shared" si="0"/>
        <v>19</v>
      </c>
      <c r="B30" s="396">
        <v>7590</v>
      </c>
      <c r="C30" s="130" t="s">
        <v>1401</v>
      </c>
      <c r="D30" s="520">
        <f>VLOOKUP($B30,'[12]Div 9 forecast'!$D$436:$AF$517,18,FALSE)</f>
        <v>0</v>
      </c>
      <c r="E30" s="520">
        <f>VLOOKUP($B30,'[12]Div 9 forecast'!$D$436:$AF$517,19,FALSE)</f>
        <v>0</v>
      </c>
      <c r="F30" s="520">
        <f>VLOOKUP($B30,'[12]Div 9 forecast'!$D$436:$AF$517,20,FALSE)</f>
        <v>0</v>
      </c>
      <c r="G30" s="520">
        <f>VLOOKUP($B30,'[12]Div 9 forecast'!$D$436:$AF$517,21,FALSE)</f>
        <v>0</v>
      </c>
      <c r="H30" s="520">
        <f>VLOOKUP($B30,'[12]Div 9 forecast'!$D$436:$AF$517,22,FALSE)</f>
        <v>0</v>
      </c>
      <c r="I30" s="520">
        <f>VLOOKUP($B30,'[12]Div 9 forecast'!$D$436:$AF$517,23,FALSE)</f>
        <v>0</v>
      </c>
      <c r="J30" s="520">
        <f>VLOOKUP($B30,'[12]Div 9 forecast'!$D$436:$AF$517,24,FALSE)</f>
        <v>0</v>
      </c>
      <c r="K30" s="520">
        <f>VLOOKUP($B30,'[12]Div 9 forecast'!$D$436:$AF$517,25,FALSE)</f>
        <v>0</v>
      </c>
      <c r="L30" s="520">
        <f>VLOOKUP($B30,'[12]Div 9 forecast'!$D$436:$AF$517,26,FALSE)</f>
        <v>0</v>
      </c>
      <c r="M30" s="520">
        <f>VLOOKUP($B30,'[12]Div 9 forecast'!$D$436:$AF$517,27,FALSE)</f>
        <v>0</v>
      </c>
      <c r="N30" s="520">
        <f>VLOOKUP($B30,'[12]Div 9 forecast'!$D$436:$AF$517,28,FALSE)</f>
        <v>0</v>
      </c>
      <c r="O30" s="520">
        <f>VLOOKUP($B30,'[12]Div 9 forecast'!$D$436:$AF$517,29,FALSE)</f>
        <v>0</v>
      </c>
      <c r="P30" s="123">
        <f t="shared" si="3"/>
        <v>0</v>
      </c>
      <c r="Q30" s="1060"/>
      <c r="R30" s="771"/>
    </row>
    <row r="31" spans="1:19">
      <c r="A31" s="1113">
        <f t="shared" si="0"/>
        <v>20</v>
      </c>
      <c r="B31" s="468">
        <v>8001</v>
      </c>
      <c r="C31" s="1" t="s">
        <v>885</v>
      </c>
      <c r="D31" s="123">
        <f>'[13]2015 case'!Y7</f>
        <v>0</v>
      </c>
      <c r="E31" s="123">
        <f>'[13]2015 case'!Z7</f>
        <v>0</v>
      </c>
      <c r="F31" s="123">
        <f>'[13]2015 case'!AA7</f>
        <v>0</v>
      </c>
      <c r="G31" s="123">
        <f>'[13]2015 case'!AB7</f>
        <v>0</v>
      </c>
      <c r="H31" s="123">
        <f>'[13]2015 case'!AC7</f>
        <v>0</v>
      </c>
      <c r="I31" s="123">
        <f>'[13]2015 case'!AD7</f>
        <v>0</v>
      </c>
      <c r="J31" s="123">
        <f>'[13]2015 case'!AE7</f>
        <v>146919.11091232725</v>
      </c>
      <c r="K31" s="123">
        <f>'[13]2015 case'!AF7</f>
        <v>89603.973920114935</v>
      </c>
      <c r="L31" s="123">
        <f>'[13]2015 case'!AG7</f>
        <v>396305.01818808267</v>
      </c>
      <c r="M31" s="123">
        <f>'[13]2015 case'!AH7</f>
        <v>213051.43288701813</v>
      </c>
      <c r="N31" s="123">
        <f>'[13]2015 case'!AI7</f>
        <v>463204.80290183751</v>
      </c>
      <c r="O31" s="123">
        <f>'[13]2015 case'!AJ7</f>
        <v>0</v>
      </c>
      <c r="P31" s="123">
        <f t="shared" si="3"/>
        <v>1309084.3388093805</v>
      </c>
      <c r="Q31" s="1"/>
      <c r="R31" s="771"/>
      <c r="S31" s="1"/>
    </row>
    <row r="32" spans="1:19">
      <c r="A32" s="1113">
        <f t="shared" si="0"/>
        <v>21</v>
      </c>
      <c r="B32" s="468">
        <v>8010</v>
      </c>
      <c r="C32" s="1" t="s">
        <v>1229</v>
      </c>
      <c r="D32" s="123">
        <f>'[13]2015 case'!Y8</f>
        <v>6175.7763157554582</v>
      </c>
      <c r="E32" s="123">
        <f>'[13]2015 case'!Z8</f>
        <v>5936.6494756029051</v>
      </c>
      <c r="F32" s="123">
        <f>'[13]2015 case'!AA8</f>
        <v>5505.2318739390184</v>
      </c>
      <c r="G32" s="123">
        <f>'[13]2015 case'!AB8</f>
        <v>7191.3206783476144</v>
      </c>
      <c r="H32" s="123">
        <f>'[13]2015 case'!AC8</f>
        <v>4298.1121478770519</v>
      </c>
      <c r="I32" s="123">
        <f>'[13]2015 case'!AD8</f>
        <v>5578.8915878009211</v>
      </c>
      <c r="J32" s="123">
        <f>'[13]2015 case'!AE8</f>
        <v>5021.3425915770304</v>
      </c>
      <c r="K32" s="123">
        <f>'[13]2015 case'!AF8</f>
        <v>4953.572093507003</v>
      </c>
      <c r="L32" s="123">
        <f>'[13]2015 case'!AG8</f>
        <v>3351.2356136218468</v>
      </c>
      <c r="M32" s="123">
        <f>'[13]2015 case'!AH8</f>
        <v>9363.5670674092598</v>
      </c>
      <c r="N32" s="123">
        <f>'[13]2015 case'!AI8</f>
        <v>13724.989620946659</v>
      </c>
      <c r="O32" s="123">
        <f>'[13]2015 case'!AJ8</f>
        <v>10889.1653924206</v>
      </c>
      <c r="P32" s="123">
        <f t="shared" si="3"/>
        <v>81989.854458805363</v>
      </c>
      <c r="Q32" s="1"/>
      <c r="R32" s="771"/>
      <c r="S32" s="1"/>
    </row>
    <row r="33" spans="1:25">
      <c r="A33" s="1113">
        <f t="shared" si="0"/>
        <v>22</v>
      </c>
      <c r="B33" s="468">
        <v>8040</v>
      </c>
      <c r="C33" s="1" t="s">
        <v>886</v>
      </c>
      <c r="D33" s="123">
        <f>'[13]2015 case'!Y9</f>
        <v>4473767.4124967093</v>
      </c>
      <c r="E33" s="123">
        <f>'[13]2015 case'!Z9</f>
        <v>4984370.1328893434</v>
      </c>
      <c r="F33" s="123">
        <f>'[13]2015 case'!AA9</f>
        <v>4042075.8170955428</v>
      </c>
      <c r="G33" s="123">
        <f>'[13]2015 case'!AB9</f>
        <v>4203499.19793835</v>
      </c>
      <c r="H33" s="123">
        <f>'[13]2015 case'!AC9</f>
        <v>4164915.5466492972</v>
      </c>
      <c r="I33" s="123">
        <f>'[13]2015 case'!AD9</f>
        <v>5146802.4368380951</v>
      </c>
      <c r="J33" s="123">
        <f>'[13]2015 case'!AE9</f>
        <v>4766797.5522712627</v>
      </c>
      <c r="K33" s="123">
        <f>'[13]2015 case'!AF9</f>
        <v>3835234.7444325797</v>
      </c>
      <c r="L33" s="123">
        <f>'[13]2015 case'!AG9</f>
        <v>2330260.1981907268</v>
      </c>
      <c r="M33" s="123">
        <f>'[13]2015 case'!AH9</f>
        <v>3864089.5099203326</v>
      </c>
      <c r="N33" s="123">
        <f>'[13]2015 case'!AI9</f>
        <v>2470964.1835634005</v>
      </c>
      <c r="O33" s="123">
        <f>'[13]2015 case'!AJ9</f>
        <v>10347908.833334723</v>
      </c>
      <c r="P33" s="123">
        <f t="shared" si="3"/>
        <v>54630685.565620363</v>
      </c>
      <c r="Q33" s="1"/>
      <c r="R33" s="1"/>
      <c r="S33" s="1"/>
    </row>
    <row r="34" spans="1:25">
      <c r="A34" s="1113">
        <f t="shared" si="0"/>
        <v>23</v>
      </c>
      <c r="B34" s="468">
        <v>8050</v>
      </c>
      <c r="C34" s="1" t="s">
        <v>887</v>
      </c>
      <c r="D34" s="123">
        <f>'[13]2015 case'!Y10</f>
        <v>-938.81157300945495</v>
      </c>
      <c r="E34" s="123">
        <f>'[13]2015 case'!Z10</f>
        <v>-2611.4601455664251</v>
      </c>
      <c r="F34" s="123">
        <f>'[13]2015 case'!AA10</f>
        <v>-1609.1119269959356</v>
      </c>
      <c r="G34" s="123">
        <f>'[13]2015 case'!AB10</f>
        <v>-226.12477396937496</v>
      </c>
      <c r="H34" s="123">
        <f>'[13]2015 case'!AC10</f>
        <v>-15.567180247612981</v>
      </c>
      <c r="I34" s="123">
        <f>'[13]2015 case'!AD10</f>
        <v>-21.672399465480957</v>
      </c>
      <c r="J34" s="123">
        <f>'[13]2015 case'!AE10</f>
        <v>0</v>
      </c>
      <c r="K34" s="123">
        <f>'[13]2015 case'!AF10</f>
        <v>0</v>
      </c>
      <c r="L34" s="123">
        <f>'[13]2015 case'!AG10</f>
        <v>-224.82233701872514</v>
      </c>
      <c r="M34" s="123">
        <f>'[13]2015 case'!AH10</f>
        <v>23720.533307298792</v>
      </c>
      <c r="N34" s="123">
        <f>'[13]2015 case'!AI10</f>
        <v>-17.443541308645315</v>
      </c>
      <c r="O34" s="123">
        <f>'[13]2015 case'!AJ10</f>
        <v>-1417.4060072164689</v>
      </c>
      <c r="P34" s="123">
        <f t="shared" si="3"/>
        <v>16638.113422500668</v>
      </c>
      <c r="Q34" s="1"/>
      <c r="R34" s="1"/>
      <c r="S34" s="1"/>
    </row>
    <row r="35" spans="1:25">
      <c r="A35" s="1113">
        <f t="shared" si="0"/>
        <v>24</v>
      </c>
      <c r="B35" s="468">
        <v>8051</v>
      </c>
      <c r="C35" s="1" t="s">
        <v>888</v>
      </c>
      <c r="D35" s="123">
        <f>'[13]2015 case'!Y11</f>
        <v>1077682.4352895038</v>
      </c>
      <c r="E35" s="123">
        <f>'[13]2015 case'!Z11</f>
        <v>855624.99680327752</v>
      </c>
      <c r="F35" s="123">
        <f>'[13]2015 case'!AA11</f>
        <v>725665.86855211493</v>
      </c>
      <c r="G35" s="123">
        <f>'[13]2015 case'!AB11</f>
        <v>729239.12473403872</v>
      </c>
      <c r="H35" s="123">
        <f>'[13]2015 case'!AC11</f>
        <v>945870.79456960026</v>
      </c>
      <c r="I35" s="123">
        <f>'[13]2015 case'!AD11</f>
        <v>3023339.7183964993</v>
      </c>
      <c r="J35" s="123">
        <f>'[13]2015 case'!AE11</f>
        <v>6572938.8884907691</v>
      </c>
      <c r="K35" s="123">
        <f>'[13]2015 case'!AF11</f>
        <v>8091636.5581096858</v>
      </c>
      <c r="L35" s="123">
        <f>'[13]2015 case'!AG11</f>
        <v>8181532.8845226504</v>
      </c>
      <c r="M35" s="123">
        <f>'[13]2015 case'!AH11</f>
        <v>9502782.1550766472</v>
      </c>
      <c r="N35" s="123">
        <f>'[13]2015 case'!AI11</f>
        <v>7190471.1113609802</v>
      </c>
      <c r="O35" s="123">
        <f>'[13]2015 case'!AJ11</f>
        <v>3129853.9243696271</v>
      </c>
      <c r="P35" s="123">
        <f t="shared" si="3"/>
        <v>50026638.460275397</v>
      </c>
      <c r="Q35" s="1"/>
      <c r="R35" s="1"/>
      <c r="S35" s="1"/>
    </row>
    <row r="36" spans="1:25">
      <c r="A36" s="1113">
        <f t="shared" si="0"/>
        <v>25</v>
      </c>
      <c r="B36" s="468">
        <v>8052</v>
      </c>
      <c r="C36" s="1" t="s">
        <v>889</v>
      </c>
      <c r="D36" s="123">
        <f>'[13]2015 case'!Y12</f>
        <v>821094.97198128258</v>
      </c>
      <c r="E36" s="123">
        <f>'[13]2015 case'!Z12</f>
        <v>762193.329973888</v>
      </c>
      <c r="F36" s="123">
        <f>'[13]2015 case'!AA12</f>
        <v>677880.19513050572</v>
      </c>
      <c r="G36" s="123">
        <f>'[13]2015 case'!AB12</f>
        <v>770336.59234322282</v>
      </c>
      <c r="H36" s="123">
        <f>'[13]2015 case'!AC12</f>
        <v>948827.2739442992</v>
      </c>
      <c r="I36" s="123">
        <f>'[13]2015 case'!AD12</f>
        <v>1354890.5097397051</v>
      </c>
      <c r="J36" s="123">
        <f>'[13]2015 case'!AE12</f>
        <v>2837329.219648527</v>
      </c>
      <c r="K36" s="123">
        <f>'[13]2015 case'!AF12</f>
        <v>3562542.5802478027</v>
      </c>
      <c r="L36" s="123">
        <f>'[13]2015 case'!AG12</f>
        <v>3612688.1519557671</v>
      </c>
      <c r="M36" s="123">
        <f>'[13]2015 case'!AH12</f>
        <v>4126387.6572248633</v>
      </c>
      <c r="N36" s="123">
        <f>'[13]2015 case'!AI12</f>
        <v>3440145.9531220119</v>
      </c>
      <c r="O36" s="123">
        <f>'[13]2015 case'!AJ12</f>
        <v>1899794.0077016284</v>
      </c>
      <c r="P36" s="123">
        <f t="shared" si="3"/>
        <v>24814110.4430135</v>
      </c>
      <c r="Q36" s="1"/>
      <c r="R36" s="771"/>
      <c r="S36" s="1"/>
    </row>
    <row r="37" spans="1:25" ht="15.75">
      <c r="A37" s="1113">
        <f t="shared" si="0"/>
        <v>26</v>
      </c>
      <c r="B37" s="468">
        <v>8053</v>
      </c>
      <c r="C37" s="1" t="s">
        <v>890</v>
      </c>
      <c r="D37" s="123">
        <f>'[13]2015 case'!Y13</f>
        <v>296792.54419777577</v>
      </c>
      <c r="E37" s="123">
        <f>'[13]2015 case'!Z13</f>
        <v>180736.70846029368</v>
      </c>
      <c r="F37" s="123">
        <f>'[13]2015 case'!AA13</f>
        <v>216320.14729032002</v>
      </c>
      <c r="G37" s="123">
        <f>'[13]2015 case'!AB13</f>
        <v>145184.3134880467</v>
      </c>
      <c r="H37" s="123">
        <f>'[13]2015 case'!AC13</f>
        <v>199457.00420816391</v>
      </c>
      <c r="I37" s="123">
        <f>'[13]2015 case'!AD13</f>
        <v>227314.43721464049</v>
      </c>
      <c r="J37" s="123">
        <f>'[13]2015 case'!AE13</f>
        <v>431075.72925873398</v>
      </c>
      <c r="K37" s="123">
        <f>'[13]2015 case'!AF13</f>
        <v>531439.18794250628</v>
      </c>
      <c r="L37" s="123">
        <f>'[13]2015 case'!AG13</f>
        <v>530543.21489946265</v>
      </c>
      <c r="M37" s="123">
        <f>'[13]2015 case'!AH13</f>
        <v>760216.79047914478</v>
      </c>
      <c r="N37" s="123">
        <f>'[13]2015 case'!AI13</f>
        <v>625192.89821576187</v>
      </c>
      <c r="O37" s="123">
        <f>'[13]2015 case'!AJ13</f>
        <v>571070.33019069117</v>
      </c>
      <c r="P37" s="123">
        <f t="shared" si="3"/>
        <v>4715343.3058455419</v>
      </c>
      <c r="Q37" s="1"/>
      <c r="R37" s="826"/>
      <c r="S37" s="1"/>
    </row>
    <row r="38" spans="1:25">
      <c r="A38" s="1113">
        <f t="shared" si="0"/>
        <v>27</v>
      </c>
      <c r="B38" s="468">
        <v>8054</v>
      </c>
      <c r="C38" s="1" t="s">
        <v>891</v>
      </c>
      <c r="D38" s="123">
        <f>'[13]2015 case'!Y14</f>
        <v>168725.59062571425</v>
      </c>
      <c r="E38" s="123">
        <f>'[13]2015 case'!Z14</f>
        <v>139478.50643155121</v>
      </c>
      <c r="F38" s="123">
        <f>'[13]2015 case'!AA14</f>
        <v>120599.89151730444</v>
      </c>
      <c r="G38" s="123">
        <f>'[13]2015 case'!AB14</f>
        <v>144478.95373279441</v>
      </c>
      <c r="H38" s="123">
        <f>'[13]2015 case'!AC14</f>
        <v>173663.46546173363</v>
      </c>
      <c r="I38" s="123">
        <f>'[13]2015 case'!AD14</f>
        <v>297441.11327488447</v>
      </c>
      <c r="J38" s="123">
        <f>'[13]2015 case'!AE14</f>
        <v>619686.2180469461</v>
      </c>
      <c r="K38" s="123">
        <f>'[13]2015 case'!AF14</f>
        <v>765820.40704525355</v>
      </c>
      <c r="L38" s="123">
        <f>'[13]2015 case'!AG14</f>
        <v>791195.61187929322</v>
      </c>
      <c r="M38" s="123">
        <f>'[13]2015 case'!AH14</f>
        <v>895266.72508212272</v>
      </c>
      <c r="N38" s="123">
        <f>'[13]2015 case'!AI14</f>
        <v>751961.26768360171</v>
      </c>
      <c r="O38" s="123">
        <f>'[13]2015 case'!AJ14</f>
        <v>480781.35286224191</v>
      </c>
      <c r="P38" s="123">
        <f t="shared" si="3"/>
        <v>5349099.1036434416</v>
      </c>
      <c r="Q38" s="1"/>
      <c r="R38" s="797"/>
      <c r="S38" s="1"/>
    </row>
    <row r="39" spans="1:25">
      <c r="A39" s="1113">
        <f t="shared" si="0"/>
        <v>28</v>
      </c>
      <c r="B39" s="468">
        <v>8058</v>
      </c>
      <c r="C39" s="1" t="s">
        <v>892</v>
      </c>
      <c r="D39" s="123">
        <f>'[13]2015 case'!Y15</f>
        <v>-251539.35057493747</v>
      </c>
      <c r="E39" s="123">
        <f>'[13]2015 case'!Z15</f>
        <v>-230242.5760504253</v>
      </c>
      <c r="F39" s="123">
        <f>'[13]2015 case'!AA15</f>
        <v>-2463.94524158379</v>
      </c>
      <c r="G39" s="123">
        <f>'[13]2015 case'!AB15</f>
        <v>-44132.335725606092</v>
      </c>
      <c r="H39" s="123">
        <f>'[13]2015 case'!AC15</f>
        <v>676622.213157997</v>
      </c>
      <c r="I39" s="123">
        <f>'[13]2015 case'!AD15</f>
        <v>2069022.2900035963</v>
      </c>
      <c r="J39" s="123">
        <f>'[13]2015 case'!AE15</f>
        <v>1394960.7304291471</v>
      </c>
      <c r="K39" s="123">
        <f>'[13]2015 case'!AF15</f>
        <v>990425.77923804952</v>
      </c>
      <c r="L39" s="123">
        <f>'[13]2015 case'!AG15</f>
        <v>447999.20497353573</v>
      </c>
      <c r="M39" s="123">
        <f>'[13]2015 case'!AH15</f>
        <v>-3054215.6151740667</v>
      </c>
      <c r="N39" s="123">
        <f>'[13]2015 case'!AI15</f>
        <v>-5135995.5852569267</v>
      </c>
      <c r="O39" s="123">
        <f>'[13]2015 case'!AJ15</f>
        <v>-2376599.3805235992</v>
      </c>
      <c r="P39" s="123">
        <f t="shared" si="3"/>
        <v>-5516158.570744819</v>
      </c>
      <c r="Q39" s="1"/>
      <c r="R39" s="1"/>
      <c r="S39" s="1"/>
    </row>
    <row r="40" spans="1:25">
      <c r="A40" s="1113">
        <f t="shared" si="0"/>
        <v>29</v>
      </c>
      <c r="B40" s="468">
        <v>8059</v>
      </c>
      <c r="C40" s="1" t="s">
        <v>893</v>
      </c>
      <c r="D40" s="123">
        <f>'[13]2015 case'!Y16</f>
        <v>-3017104.3519653128</v>
      </c>
      <c r="E40" s="123">
        <f>'[13]2015 case'!Z16</f>
        <v>-3071812.8343516858</v>
      </c>
      <c r="F40" s="123">
        <f>'[13]2015 case'!AA16</f>
        <v>-2652088.424796992</v>
      </c>
      <c r="G40" s="123">
        <f>'[13]2015 case'!AB16</f>
        <v>-1969542.2773753323</v>
      </c>
      <c r="H40" s="123">
        <f>'[13]2015 case'!AC16</f>
        <v>-2129996.6344442605</v>
      </c>
      <c r="I40" s="123">
        <f>'[13]2015 case'!AD16</f>
        <v>-3343033.743989863</v>
      </c>
      <c r="J40" s="123">
        <f>'[13]2015 case'!AE16</f>
        <v>-8614117.7869039308</v>
      </c>
      <c r="K40" s="123">
        <f>'[13]2015 case'!AF16</f>
        <v>-8788002.894708287</v>
      </c>
      <c r="L40" s="123">
        <f>'[13]2015 case'!AG16</f>
        <v>-10927965.574432731</v>
      </c>
      <c r="M40" s="123">
        <f>'[13]2015 case'!AH16</f>
        <v>-12369994.034000657</v>
      </c>
      <c r="N40" s="123">
        <f>'[13]2015 case'!AI16</f>
        <v>-14846413.530096607</v>
      </c>
      <c r="O40" s="123">
        <f>'[13]2015 case'!AJ16</f>
        <v>-8412086.1163306423</v>
      </c>
      <c r="P40" s="123">
        <f t="shared" si="3"/>
        <v>-80142158.203396305</v>
      </c>
      <c r="Q40" s="1"/>
      <c r="R40" s="1"/>
      <c r="S40" s="1"/>
    </row>
    <row r="41" spans="1:25">
      <c r="A41" s="1113">
        <f t="shared" si="0"/>
        <v>30</v>
      </c>
      <c r="B41" s="468">
        <v>8060</v>
      </c>
      <c r="C41" s="1" t="s">
        <v>894</v>
      </c>
      <c r="D41" s="123">
        <f>'[13]2015 case'!Y17</f>
        <v>-1052381.6291968508</v>
      </c>
      <c r="E41" s="123">
        <f>'[13]2015 case'!Z17</f>
        <v>-1294139.779390781</v>
      </c>
      <c r="F41" s="123">
        <f>'[13]2015 case'!AA17</f>
        <v>-786058.38558499329</v>
      </c>
      <c r="G41" s="123">
        <f>'[13]2015 case'!AB17</f>
        <v>-1242347.631316328</v>
      </c>
      <c r="H41" s="123">
        <f>'[13]2015 case'!AC17</f>
        <v>-945738.8274722395</v>
      </c>
      <c r="I41" s="123">
        <f>'[13]2015 case'!AD17</f>
        <v>-1038646.23580557</v>
      </c>
      <c r="J41" s="123">
        <f>'[13]2015 case'!AE17</f>
        <v>682620.52517538192</v>
      </c>
      <c r="K41" s="123">
        <f>'[13]2015 case'!AF17</f>
        <v>750798.45681039931</v>
      </c>
      <c r="L41" s="123">
        <f>'[13]2015 case'!AG17</f>
        <v>1877942.431411627</v>
      </c>
      <c r="M41" s="123">
        <f>'[13]2015 case'!AH17</f>
        <v>1163164.7240525619</v>
      </c>
      <c r="N41" s="123">
        <f>'[13]2015 case'!AI17</f>
        <v>2500076.778483124</v>
      </c>
      <c r="O41" s="123">
        <f>'[13]2015 case'!AJ17</f>
        <v>-1949962.8557109453</v>
      </c>
      <c r="P41" s="123">
        <f t="shared" si="3"/>
        <v>-1334672.4285446138</v>
      </c>
      <c r="Q41" s="1"/>
      <c r="R41" s="1"/>
      <c r="S41" s="1"/>
    </row>
    <row r="42" spans="1:25">
      <c r="A42" s="1113">
        <f t="shared" si="0"/>
        <v>31</v>
      </c>
      <c r="B42" s="468">
        <v>8081</v>
      </c>
      <c r="C42" s="1" t="s">
        <v>895</v>
      </c>
      <c r="D42" s="123">
        <f>'[13]2015 case'!Y18</f>
        <v>0</v>
      </c>
      <c r="E42" s="123">
        <f>'[13]2015 case'!Z18</f>
        <v>0</v>
      </c>
      <c r="F42" s="123">
        <f>'[13]2015 case'!AA18</f>
        <v>3624.5058774322029</v>
      </c>
      <c r="G42" s="123">
        <f>'[13]2015 case'!AB18</f>
        <v>0</v>
      </c>
      <c r="H42" s="123">
        <f>'[13]2015 case'!AC18</f>
        <v>0</v>
      </c>
      <c r="I42" s="123">
        <f>'[13]2015 case'!AD18</f>
        <v>7382.7224704886212</v>
      </c>
      <c r="J42" s="123">
        <f>'[13]2015 case'!AE18</f>
        <v>1436919.8074143117</v>
      </c>
      <c r="K42" s="123">
        <f>'[13]2015 case'!AF18</f>
        <v>2636309.656346289</v>
      </c>
      <c r="L42" s="123">
        <f>'[13]2015 case'!AG18</f>
        <v>4688638.8008926129</v>
      </c>
      <c r="M42" s="123">
        <f>'[13]2015 case'!AH18</f>
        <v>5391206.4272765648</v>
      </c>
      <c r="N42" s="123">
        <f>'[13]2015 case'!AI18</f>
        <v>5833492.8328729244</v>
      </c>
      <c r="O42" s="123">
        <f>'[13]2015 case'!AJ18</f>
        <v>5307.9441797296904</v>
      </c>
      <c r="P42" s="123">
        <f t="shared" si="3"/>
        <v>20002882.697330352</v>
      </c>
      <c r="Q42" s="966"/>
      <c r="R42" s="1"/>
      <c r="S42" s="1"/>
    </row>
    <row r="43" spans="1:25">
      <c r="A43" s="1113">
        <f t="shared" si="0"/>
        <v>32</v>
      </c>
      <c r="B43" s="468">
        <v>8082</v>
      </c>
      <c r="C43" s="1" t="s">
        <v>896</v>
      </c>
      <c r="D43" s="123">
        <f>'[13]2015 case'!Y19</f>
        <v>-2161326.8022751957</v>
      </c>
      <c r="E43" s="123">
        <f>'[13]2015 case'!Z19</f>
        <v>-2287493.5846953304</v>
      </c>
      <c r="F43" s="123">
        <f>'[13]2015 case'!AA19</f>
        <v>-2158597.4561371356</v>
      </c>
      <c r="G43" s="123">
        <f>'[13]2015 case'!AB19</f>
        <v>-2017322.9412127382</v>
      </c>
      <c r="H43" s="123">
        <f>'[13]2015 case'!AC19</f>
        <v>-2034966.886721161</v>
      </c>
      <c r="I43" s="123">
        <f>'[13]2015 case'!AD19</f>
        <v>-2010348.5637455545</v>
      </c>
      <c r="J43" s="123">
        <f>'[13]2015 case'!AE19</f>
        <v>-41611.943123310652</v>
      </c>
      <c r="K43" s="123">
        <f>'[13]2015 case'!AF19</f>
        <v>-24303.760891339494</v>
      </c>
      <c r="L43" s="123">
        <f>'[13]2015 case'!AG19</f>
        <v>-2746.4228252360585</v>
      </c>
      <c r="M43" s="123">
        <f>'[13]2015 case'!AH19</f>
        <v>-9990.6778759945064</v>
      </c>
      <c r="N43" s="123">
        <f>'[13]2015 case'!AI19</f>
        <v>-29386.767758330592</v>
      </c>
      <c r="O43" s="123">
        <f>'[13]2015 case'!AJ19</f>
        <v>-3736489.2423288152</v>
      </c>
      <c r="P43" s="123">
        <f t="shared" si="3"/>
        <v>-16514585.049590139</v>
      </c>
      <c r="R43" s="1"/>
      <c r="S43" s="1"/>
    </row>
    <row r="44" spans="1:25" ht="15.75">
      <c r="A44" s="1113">
        <f t="shared" si="0"/>
        <v>33</v>
      </c>
      <c r="B44" s="468">
        <v>8120</v>
      </c>
      <c r="C44" s="1" t="s">
        <v>897</v>
      </c>
      <c r="D44" s="123">
        <f>'[13]2015 case'!Y20</f>
        <v>1093.3733802116383</v>
      </c>
      <c r="E44" s="123">
        <f>'[13]2015 case'!Z20</f>
        <v>149.90181659650241</v>
      </c>
      <c r="F44" s="123">
        <f>'[13]2015 case'!AA20</f>
        <v>82.605549770274308</v>
      </c>
      <c r="G44" s="123">
        <f>'[13]2015 case'!AB20</f>
        <v>205.31322317184672</v>
      </c>
      <c r="H44" s="123">
        <f>'[13]2015 case'!AC20</f>
        <v>-427.71377965002563</v>
      </c>
      <c r="I44" s="123">
        <f>'[13]2015 case'!AD20</f>
        <v>-731.01998096903617</v>
      </c>
      <c r="J44" s="123">
        <f>'[13]2015 case'!AE20</f>
        <v>-1242.5909901977541</v>
      </c>
      <c r="K44" s="123">
        <f>'[13]2015 case'!AF20</f>
        <v>-1101.4888561335572</v>
      </c>
      <c r="L44" s="123">
        <f>'[13]2015 case'!AG20</f>
        <v>-3995.2263959909214</v>
      </c>
      <c r="M44" s="123">
        <f>'[13]2015 case'!AH20</f>
        <v>-1512.7169461021156</v>
      </c>
      <c r="N44" s="123">
        <f>'[13]2015 case'!AI20</f>
        <v>-2120.8614110384838</v>
      </c>
      <c r="O44" s="123">
        <f>'[13]2015 case'!AJ20</f>
        <v>-1255.6271880827946</v>
      </c>
      <c r="P44" s="123">
        <f t="shared" si="3"/>
        <v>-10856.051578414428</v>
      </c>
      <c r="Q44" s="1"/>
      <c r="R44" s="914"/>
    </row>
    <row r="45" spans="1:25">
      <c r="A45" s="1113">
        <f t="shared" si="0"/>
        <v>34</v>
      </c>
      <c r="B45" s="468">
        <v>8580</v>
      </c>
      <c r="C45" s="1" t="s">
        <v>1230</v>
      </c>
      <c r="D45" s="123">
        <f>'[13]2015 case'!Y21</f>
        <v>1751808.4061979048</v>
      </c>
      <c r="E45" s="123">
        <f>'[13]2015 case'!Z21</f>
        <v>1665750.8762184177</v>
      </c>
      <c r="F45" s="123">
        <f>'[13]2015 case'!AA21</f>
        <v>1547147.823599203</v>
      </c>
      <c r="G45" s="123">
        <f>'[13]2015 case'!AB21</f>
        <v>1018748.4560616708</v>
      </c>
      <c r="H45" s="123">
        <f>'[13]2015 case'!AC21</f>
        <v>941504.25702073413</v>
      </c>
      <c r="I45" s="123">
        <f>'[13]2015 case'!AD21</f>
        <v>1232286.1650440684</v>
      </c>
      <c r="J45" s="123">
        <f>'[13]2015 case'!AE21</f>
        <v>1617451.3916623814</v>
      </c>
      <c r="K45" s="123">
        <f>'[13]2015 case'!AF21</f>
        <v>1495406.2519967377</v>
      </c>
      <c r="L45" s="123">
        <f>'[13]2015 case'!AG21</f>
        <v>1634439.1352983145</v>
      </c>
      <c r="M45" s="123">
        <f>'[13]2015 case'!AH21</f>
        <v>1715388.5173654691</v>
      </c>
      <c r="N45" s="123">
        <f>'[13]2015 case'!AI21</f>
        <v>3594354.1539540128</v>
      </c>
      <c r="O45" s="123">
        <f>'[13]2015 case'!AJ21</f>
        <v>3735849.6774707446</v>
      </c>
      <c r="P45" s="123">
        <f t="shared" si="3"/>
        <v>21950135.111889657</v>
      </c>
      <c r="Q45" s="771"/>
      <c r="R45" s="771"/>
      <c r="S45" s="771"/>
      <c r="T45" s="771"/>
    </row>
    <row r="46" spans="1:25">
      <c r="A46" s="1113">
        <f t="shared" si="0"/>
        <v>35</v>
      </c>
      <c r="B46" s="468">
        <v>8140</v>
      </c>
      <c r="C46" s="1" t="s">
        <v>898</v>
      </c>
      <c r="D46" s="520">
        <f>VLOOKUP($B46,'[12]Div 9 forecast'!$D$437:$AF$517,18,FALSE)</f>
        <v>-6.1132019446031638</v>
      </c>
      <c r="E46" s="520">
        <f>VLOOKUP($B46,'[12]Div 9 forecast'!$D$437:$AF$517,19,FALSE)</f>
        <v>-6.1132019446031638</v>
      </c>
      <c r="F46" s="520">
        <f>VLOOKUP($B46,'[12]Div 9 forecast'!$D$437:$AF$517,20,FALSE)</f>
        <v>-6.1132019446031638</v>
      </c>
      <c r="G46" s="520">
        <f>VLOOKUP($B46,'[12]Div 9 forecast'!$D$437:$AF$517,21,FALSE)</f>
        <v>-6.1665923545996977</v>
      </c>
      <c r="H46" s="520">
        <f>VLOOKUP($B46,'[12]Div 9 forecast'!$D$437:$AF$517,22,FALSE)</f>
        <v>-6.1132019446031638</v>
      </c>
      <c r="I46" s="520">
        <f>VLOOKUP($B46,'[12]Div 9 forecast'!$D$437:$AF$517,23,FALSE)</f>
        <v>-6.1132019446031638</v>
      </c>
      <c r="J46" s="520">
        <f>VLOOKUP($B46,'[12]Div 9 forecast'!$D$437:$AF$517,24,FALSE)</f>
        <v>-6.1132019446031638</v>
      </c>
      <c r="K46" s="520">
        <f>VLOOKUP($B46,'[12]Div 9 forecast'!$D$437:$AF$517,25,FALSE)</f>
        <v>-6.1132019446031638</v>
      </c>
      <c r="L46" s="520">
        <f>VLOOKUP($B46,'[12]Div 9 forecast'!$D$437:$AF$517,26,FALSE)</f>
        <v>-6.1132019446031638</v>
      </c>
      <c r="M46" s="520">
        <f>VLOOKUP($B46,'[12]Div 9 forecast'!$D$437:$AF$517,27,FALSE)</f>
        <v>-6.1132019446031638</v>
      </c>
      <c r="N46" s="520">
        <f>VLOOKUP($B46,'[12]Div 9 forecast'!$D$437:$AF$517,28,FALSE)</f>
        <v>-6.1132019446031638</v>
      </c>
      <c r="O46" s="520">
        <f>VLOOKUP($B46,'[12]Div 9 forecast'!$D$437:$AF$517,29,FALSE)</f>
        <v>-6.1132019446031638</v>
      </c>
      <c r="P46" s="107">
        <f t="shared" si="3"/>
        <v>-73.411813745234497</v>
      </c>
      <c r="Q46" s="771"/>
      <c r="R46" s="771"/>
      <c r="S46" s="1"/>
      <c r="Y46" s="933"/>
    </row>
    <row r="47" spans="1:25">
      <c r="A47" s="1113">
        <f t="shared" si="0"/>
        <v>36</v>
      </c>
      <c r="B47" s="468">
        <v>8160</v>
      </c>
      <c r="C47" s="1" t="s">
        <v>899</v>
      </c>
      <c r="D47" s="520">
        <f>VLOOKUP($B47,'[12]Div 9 forecast'!$D$437:$AF$517,18,FALSE)</f>
        <v>7724.1798474401849</v>
      </c>
      <c r="E47" s="520">
        <f>VLOOKUP($B47,'[12]Div 9 forecast'!$D$437:$AF$517,19,FALSE)</f>
        <v>7584.4239057910418</v>
      </c>
      <c r="F47" s="520">
        <f>VLOOKUP($B47,'[12]Div 9 forecast'!$D$437:$AF$517,20,FALSE)</f>
        <v>7771.4404543842311</v>
      </c>
      <c r="G47" s="520">
        <f>VLOOKUP($B47,'[12]Div 9 forecast'!$D$437:$AF$517,21,FALSE)</f>
        <v>7654.8688171620433</v>
      </c>
      <c r="H47" s="520">
        <f>VLOOKUP($B47,'[12]Div 9 forecast'!$D$437:$AF$517,22,FALSE)</f>
        <v>7628.922544987844</v>
      </c>
      <c r="I47" s="520">
        <f>VLOOKUP($B47,'[12]Div 9 forecast'!$D$437:$AF$517,23,FALSE)</f>
        <v>7489.7638815541386</v>
      </c>
      <c r="J47" s="520">
        <f>VLOOKUP($B47,'[12]Div 9 forecast'!$D$437:$AF$517,24,FALSE)</f>
        <v>7798.7318158535008</v>
      </c>
      <c r="K47" s="520">
        <f>VLOOKUP($B47,'[12]Div 9 forecast'!$D$437:$AF$517,25,FALSE)</f>
        <v>7488.0740974200744</v>
      </c>
      <c r="L47" s="520">
        <f>VLOOKUP($B47,'[12]Div 9 forecast'!$D$437:$AF$517,26,FALSE)</f>
        <v>7563.2007337920113</v>
      </c>
      <c r="M47" s="520">
        <f>VLOOKUP($B47,'[12]Div 9 forecast'!$D$437:$AF$517,27,FALSE)</f>
        <v>7910.1008609331993</v>
      </c>
      <c r="N47" s="520">
        <f>VLOOKUP($B47,'[12]Div 9 forecast'!$D$437:$AF$517,28,FALSE)</f>
        <v>7636.2850516445606</v>
      </c>
      <c r="O47" s="520">
        <f>VLOOKUP($B47,'[12]Div 9 forecast'!$D$437:$AF$517,29,FALSE)</f>
        <v>7756.9162093391888</v>
      </c>
      <c r="P47" s="107">
        <f t="shared" si="3"/>
        <v>92006.908220302023</v>
      </c>
      <c r="Q47" s="1"/>
      <c r="R47" s="1"/>
      <c r="S47" s="1"/>
      <c r="Y47" s="933"/>
    </row>
    <row r="48" spans="1:25">
      <c r="A48" s="1113">
        <f t="shared" si="0"/>
        <v>37</v>
      </c>
      <c r="B48" s="468">
        <v>8170</v>
      </c>
      <c r="C48" s="1" t="s">
        <v>905</v>
      </c>
      <c r="D48" s="520">
        <f>VLOOKUP($B48,'[12]Div 9 forecast'!$D$437:$AF$517,18,FALSE)</f>
        <v>3075.6659633699819</v>
      </c>
      <c r="E48" s="520">
        <f>VLOOKUP($B48,'[12]Div 9 forecast'!$D$437:$AF$517,19,FALSE)</f>
        <v>2971.9310262555946</v>
      </c>
      <c r="F48" s="520">
        <f>VLOOKUP($B48,'[12]Div 9 forecast'!$D$437:$AF$517,20,FALSE)</f>
        <v>3097.1717375652397</v>
      </c>
      <c r="G48" s="520">
        <f>VLOOKUP($B48,'[12]Div 9 forecast'!$D$437:$AF$517,21,FALSE)</f>
        <v>3021.8272444521544</v>
      </c>
      <c r="H48" s="520">
        <f>VLOOKUP($B48,'[12]Div 9 forecast'!$D$437:$AF$517,22,FALSE)</f>
        <v>3043.3731036870918</v>
      </c>
      <c r="I48" s="520">
        <f>VLOOKUP($B48,'[12]Div 9 forecast'!$D$437:$AF$517,23,FALSE)</f>
        <v>2939.0276381487611</v>
      </c>
      <c r="J48" s="520">
        <f>VLOOKUP($B48,'[12]Div 9 forecast'!$D$437:$AF$517,24,FALSE)</f>
        <v>3176.6348526299553</v>
      </c>
      <c r="K48" s="520">
        <f>VLOOKUP($B48,'[12]Div 9 forecast'!$D$437:$AF$517,25,FALSE)</f>
        <v>2940.6797149757899</v>
      </c>
      <c r="L48" s="520">
        <f>VLOOKUP($B48,'[12]Div 9 forecast'!$D$437:$AF$517,26,FALSE)</f>
        <v>3007.8054791365503</v>
      </c>
      <c r="M48" s="520">
        <f>VLOOKUP($B48,'[12]Div 9 forecast'!$D$437:$AF$517,27,FALSE)</f>
        <v>3156.1534797827212</v>
      </c>
      <c r="N48" s="520">
        <f>VLOOKUP($B48,'[12]Div 9 forecast'!$D$437:$AF$517,28,FALSE)</f>
        <v>2958.5797750196784</v>
      </c>
      <c r="O48" s="520">
        <f>VLOOKUP($B48,'[12]Div 9 forecast'!$D$437:$AF$517,29,FALSE)</f>
        <v>3045.9761936103387</v>
      </c>
      <c r="P48" s="107">
        <f t="shared" si="3"/>
        <v>36434.826208633858</v>
      </c>
      <c r="Q48" s="1"/>
      <c r="R48" s="1"/>
      <c r="S48" s="1"/>
      <c r="Y48" s="933"/>
    </row>
    <row r="49" spans="1:25">
      <c r="A49" s="1113">
        <f t="shared" si="0"/>
        <v>38</v>
      </c>
      <c r="B49" s="468">
        <v>8180</v>
      </c>
      <c r="C49" s="1" t="s">
        <v>906</v>
      </c>
      <c r="D49" s="520">
        <f>VLOOKUP($B49,'[12]Div 9 forecast'!$D$437:$AF$517,18,FALSE)</f>
        <v>2324.0011363156045</v>
      </c>
      <c r="E49" s="520">
        <f>VLOOKUP($B49,'[12]Div 9 forecast'!$D$437:$AF$517,19,FALSE)</f>
        <v>2266.9605814594679</v>
      </c>
      <c r="F49" s="520">
        <f>VLOOKUP($B49,'[12]Div 9 forecast'!$D$437:$AF$517,20,FALSE)</f>
        <v>2222.0881120995386</v>
      </c>
      <c r="G49" s="520">
        <f>VLOOKUP($B49,'[12]Div 9 forecast'!$D$437:$AF$517,21,FALSE)</f>
        <v>2206.2458007459081</v>
      </c>
      <c r="H49" s="520">
        <f>VLOOKUP($B49,'[12]Div 9 forecast'!$D$437:$AF$517,22,FALSE)</f>
        <v>2145.6183437172594</v>
      </c>
      <c r="I49" s="520">
        <f>VLOOKUP($B49,'[12]Div 9 forecast'!$D$437:$AF$517,23,FALSE)</f>
        <v>2094.9047943306991</v>
      </c>
      <c r="J49" s="520">
        <f>VLOOKUP($B49,'[12]Div 9 forecast'!$D$437:$AF$517,24,FALSE)</f>
        <v>2249.1885997040445</v>
      </c>
      <c r="K49" s="520">
        <f>VLOOKUP($B49,'[12]Div 9 forecast'!$D$437:$AF$517,25,FALSE)</f>
        <v>2092.3480273241248</v>
      </c>
      <c r="L49" s="520">
        <f>VLOOKUP($B49,'[12]Div 9 forecast'!$D$437:$AF$517,26,FALSE)</f>
        <v>2221.4905781971779</v>
      </c>
      <c r="M49" s="520">
        <f>VLOOKUP($B49,'[12]Div 9 forecast'!$D$437:$AF$517,27,FALSE)</f>
        <v>2223.8444746185023</v>
      </c>
      <c r="N49" s="520">
        <f>VLOOKUP($B49,'[12]Div 9 forecast'!$D$437:$AF$517,28,FALSE)</f>
        <v>2130.936297123551</v>
      </c>
      <c r="O49" s="520">
        <f>VLOOKUP($B49,'[12]Div 9 forecast'!$D$437:$AF$517,29,FALSE)</f>
        <v>2149.7881976870581</v>
      </c>
      <c r="P49" s="107">
        <f t="shared" si="3"/>
        <v>26327.414943322936</v>
      </c>
      <c r="Q49" s="1"/>
      <c r="R49" s="1"/>
      <c r="S49" s="1"/>
      <c r="Y49" s="933"/>
    </row>
    <row r="50" spans="1:25">
      <c r="A50" s="1113">
        <f t="shared" si="0"/>
        <v>39</v>
      </c>
      <c r="B50" s="468">
        <v>8190</v>
      </c>
      <c r="C50" s="1" t="s">
        <v>907</v>
      </c>
      <c r="D50" s="520">
        <f>VLOOKUP($B50,'[12]Div 9 forecast'!$D$437:$AF$517,18,FALSE)</f>
        <v>57.58292137328246</v>
      </c>
      <c r="E50" s="520">
        <f>VLOOKUP($B50,'[12]Div 9 forecast'!$D$437:$AF$517,19,FALSE)</f>
        <v>57.592788262940701</v>
      </c>
      <c r="F50" s="520">
        <f>VLOOKUP($B50,'[12]Div 9 forecast'!$D$437:$AF$517,20,FALSE)</f>
        <v>55.480040514868769</v>
      </c>
      <c r="G50" s="520">
        <f>VLOOKUP($B50,'[12]Div 9 forecast'!$D$437:$AF$517,21,FALSE)</f>
        <v>60.947086736709757</v>
      </c>
      <c r="H50" s="520">
        <f>VLOOKUP($B50,'[12]Div 9 forecast'!$D$437:$AF$517,22,FALSE)</f>
        <v>57.353516188728236</v>
      </c>
      <c r="I50" s="520">
        <f>VLOOKUP($B50,'[12]Div 9 forecast'!$D$437:$AF$517,23,FALSE)</f>
        <v>56.318726135819681</v>
      </c>
      <c r="J50" s="520">
        <f>VLOOKUP($B50,'[12]Div 9 forecast'!$D$437:$AF$517,24,FALSE)</f>
        <v>60.176679992193883</v>
      </c>
      <c r="K50" s="520">
        <f>VLOOKUP($B50,'[12]Div 9 forecast'!$D$437:$AF$517,25,FALSE)</f>
        <v>58.351305405418366</v>
      </c>
      <c r="L50" s="520">
        <f>VLOOKUP($B50,'[12]Div 9 forecast'!$D$437:$AF$517,26,FALSE)</f>
        <v>60.272882166361782</v>
      </c>
      <c r="M50" s="520">
        <f>VLOOKUP($B50,'[12]Div 9 forecast'!$D$437:$AF$517,27,FALSE)</f>
        <v>55.630510582157022</v>
      </c>
      <c r="N50" s="520">
        <f>VLOOKUP($B50,'[12]Div 9 forecast'!$D$437:$AF$517,28,FALSE)</f>
        <v>58.334038348516437</v>
      </c>
      <c r="O50" s="520">
        <f>VLOOKUP($B50,'[12]Div 9 forecast'!$D$437:$AF$517,29,FALSE)</f>
        <v>58.625111593434696</v>
      </c>
      <c r="P50" s="107">
        <f t="shared" si="3"/>
        <v>696.66560730043182</v>
      </c>
      <c r="Q50" s="1"/>
      <c r="R50" s="1"/>
      <c r="S50" s="1"/>
      <c r="Y50" s="933"/>
    </row>
    <row r="51" spans="1:25">
      <c r="A51" s="1113">
        <f t="shared" si="0"/>
        <v>40</v>
      </c>
      <c r="B51" s="468">
        <v>8200</v>
      </c>
      <c r="C51" s="1" t="s">
        <v>908</v>
      </c>
      <c r="D51" s="520">
        <f>VLOOKUP($B51,'[12]Div 9 forecast'!$D$437:$AF$517,18,FALSE)</f>
        <v>225.9700595008818</v>
      </c>
      <c r="E51" s="520">
        <f>VLOOKUP($B51,'[12]Div 9 forecast'!$D$437:$AF$517,19,FALSE)</f>
        <v>221.90138388223352</v>
      </c>
      <c r="F51" s="520">
        <f>VLOOKUP($B51,'[12]Div 9 forecast'!$D$437:$AF$517,20,FALSE)</f>
        <v>225.52264566206208</v>
      </c>
      <c r="G51" s="520">
        <f>VLOOKUP($B51,'[12]Div 9 forecast'!$D$437:$AF$517,21,FALSE)</f>
        <v>233.2289082031611</v>
      </c>
      <c r="H51" s="520">
        <f>VLOOKUP($B51,'[12]Div 9 forecast'!$D$437:$AF$517,22,FALSE)</f>
        <v>228.52677997756399</v>
      </c>
      <c r="I51" s="520">
        <f>VLOOKUP($B51,'[12]Div 9 forecast'!$D$437:$AF$517,23,FALSE)</f>
        <v>222.08135249816701</v>
      </c>
      <c r="J51" s="520">
        <f>VLOOKUP($B51,'[12]Div 9 forecast'!$D$437:$AF$517,24,FALSE)</f>
        <v>238.83097570288231</v>
      </c>
      <c r="K51" s="520">
        <f>VLOOKUP($B51,'[12]Div 9 forecast'!$D$437:$AF$517,25,FALSE)</f>
        <v>226.46704220111764</v>
      </c>
      <c r="L51" s="520">
        <f>VLOOKUP($B51,'[12]Div 9 forecast'!$D$437:$AF$517,26,FALSE)</f>
        <v>230.61322215087313</v>
      </c>
      <c r="M51" s="520">
        <f>VLOOKUP($B51,'[12]Div 9 forecast'!$D$437:$AF$517,27,FALSE)</f>
        <v>229.02172069980219</v>
      </c>
      <c r="N51" s="520">
        <f>VLOOKUP($B51,'[12]Div 9 forecast'!$D$437:$AF$517,28,FALSE)</f>
        <v>226.42978512839841</v>
      </c>
      <c r="O51" s="520">
        <f>VLOOKUP($B51,'[12]Div 9 forecast'!$D$437:$AF$517,29,FALSE)</f>
        <v>231.27049726138807</v>
      </c>
      <c r="P51" s="107">
        <f t="shared" si="3"/>
        <v>2739.864372868532</v>
      </c>
      <c r="Q51" s="1"/>
      <c r="R51" s="1"/>
      <c r="S51" s="1"/>
      <c r="Y51" s="933"/>
    </row>
    <row r="52" spans="1:25">
      <c r="A52" s="1113">
        <f t="shared" si="0"/>
        <v>41</v>
      </c>
      <c r="B52" s="468">
        <v>8210</v>
      </c>
      <c r="C52" s="1" t="s">
        <v>909</v>
      </c>
      <c r="D52" s="520">
        <f>VLOOKUP($B52,'[12]Div 9 forecast'!$D$437:$AF$517,18,FALSE)</f>
        <v>3932.806246963356</v>
      </c>
      <c r="E52" s="520">
        <f>VLOOKUP($B52,'[12]Div 9 forecast'!$D$437:$AF$517,19,FALSE)</f>
        <v>3882.2732480834657</v>
      </c>
      <c r="F52" s="520">
        <f>VLOOKUP($B52,'[12]Div 9 forecast'!$D$437:$AF$517,20,FALSE)</f>
        <v>3904.643909067895</v>
      </c>
      <c r="G52" s="520">
        <f>VLOOKUP($B52,'[12]Div 9 forecast'!$D$437:$AF$517,21,FALSE)</f>
        <v>3887.6179400797801</v>
      </c>
      <c r="H52" s="520">
        <f>VLOOKUP($B52,'[12]Div 9 forecast'!$D$437:$AF$517,22,FALSE)</f>
        <v>3828.640625165242</v>
      </c>
      <c r="I52" s="520">
        <f>VLOOKUP($B52,'[12]Div 9 forecast'!$D$437:$AF$517,23,FALSE)</f>
        <v>3777.0712286506541</v>
      </c>
      <c r="J52" s="520">
        <f>VLOOKUP($B52,'[12]Div 9 forecast'!$D$437:$AF$517,24,FALSE)</f>
        <v>3909.1242539439404</v>
      </c>
      <c r="K52" s="520">
        <f>VLOOKUP($B52,'[12]Div 9 forecast'!$D$437:$AF$517,25,FALSE)</f>
        <v>3781.4086229502764</v>
      </c>
      <c r="L52" s="520">
        <f>VLOOKUP($B52,'[12]Div 9 forecast'!$D$437:$AF$517,26,FALSE)</f>
        <v>3846.0831282616637</v>
      </c>
      <c r="M52" s="520">
        <f>VLOOKUP($B52,'[12]Div 9 forecast'!$D$437:$AF$517,27,FALSE)</f>
        <v>3955.5909687260687</v>
      </c>
      <c r="N52" s="520">
        <f>VLOOKUP($B52,'[12]Div 9 forecast'!$D$437:$AF$517,28,FALSE)</f>
        <v>3870.0834747555145</v>
      </c>
      <c r="O52" s="520">
        <f>VLOOKUP($B52,'[12]Div 9 forecast'!$D$437:$AF$517,29,FALSE)</f>
        <v>3904.3105415452428</v>
      </c>
      <c r="P52" s="107">
        <f t="shared" si="3"/>
        <v>46479.654188193097</v>
      </c>
      <c r="Q52" s="1"/>
      <c r="R52" s="1"/>
      <c r="S52" s="1"/>
      <c r="Y52" s="933"/>
    </row>
    <row r="53" spans="1:25">
      <c r="A53" s="1113">
        <f t="shared" si="0"/>
        <v>42</v>
      </c>
      <c r="B53" s="468">
        <v>8240</v>
      </c>
      <c r="C53" s="1" t="s">
        <v>910</v>
      </c>
      <c r="D53" s="520">
        <f>VLOOKUP($B53,'[12]Div 9 forecast'!$D$437:$AF$517,18,FALSE)</f>
        <v>122.28756794177505</v>
      </c>
      <c r="E53" s="520">
        <f>VLOOKUP($B53,'[12]Div 9 forecast'!$D$437:$AF$517,19,FALSE)</f>
        <v>121.77422395597529</v>
      </c>
      <c r="F53" s="520">
        <f>VLOOKUP($B53,'[12]Div 9 forecast'!$D$437:$AF$517,20,FALSE)</f>
        <v>104.8249954743697</v>
      </c>
      <c r="G53" s="520">
        <f>VLOOKUP($B53,'[12]Div 9 forecast'!$D$437:$AF$517,21,FALSE)</f>
        <v>110.64086300480642</v>
      </c>
      <c r="H53" s="520">
        <f>VLOOKUP($B53,'[12]Div 9 forecast'!$D$437:$AF$517,22,FALSE)</f>
        <v>98.757307539375049</v>
      </c>
      <c r="I53" s="520">
        <f>VLOOKUP($B53,'[12]Div 9 forecast'!$D$437:$AF$517,23,FALSE)</f>
        <v>98.746649160319009</v>
      </c>
      <c r="J53" s="520">
        <f>VLOOKUP($B53,'[12]Div 9 forecast'!$D$437:$AF$517,24,FALSE)</f>
        <v>105.11658916523702</v>
      </c>
      <c r="K53" s="520">
        <f>VLOOKUP($B53,'[12]Div 9 forecast'!$D$437:$AF$517,25,FALSE)</f>
        <v>99.159453310784343</v>
      </c>
      <c r="L53" s="520">
        <f>VLOOKUP($B53,'[12]Div 9 forecast'!$D$437:$AF$517,26,FALSE)</f>
        <v>113.83917920073242</v>
      </c>
      <c r="M53" s="520">
        <f>VLOOKUP($B53,'[12]Div 9 forecast'!$D$437:$AF$517,27,FALSE)</f>
        <v>100.5347746805683</v>
      </c>
      <c r="N53" s="520">
        <f>VLOOKUP($B53,'[12]Div 9 forecast'!$D$437:$AF$517,28,FALSE)</f>
        <v>103.06027190373716</v>
      </c>
      <c r="O53" s="520">
        <f>VLOOKUP($B53,'[12]Div 9 forecast'!$D$437:$AF$517,29,FALSE)</f>
        <v>99.357637227610212</v>
      </c>
      <c r="P53" s="107">
        <f t="shared" si="3"/>
        <v>1278.0995125652898</v>
      </c>
      <c r="Q53" s="1"/>
      <c r="R53" s="1"/>
      <c r="S53" s="1"/>
      <c r="Y53" s="933"/>
    </row>
    <row r="54" spans="1:25">
      <c r="A54" s="1113">
        <f t="shared" si="0"/>
        <v>43</v>
      </c>
      <c r="B54" s="468">
        <v>8250</v>
      </c>
      <c r="C54" s="1" t="s">
        <v>922</v>
      </c>
      <c r="D54" s="520">
        <f>VLOOKUP($B54,'[12]Div 9 forecast'!$D$437:$AF$517,18,FALSE)</f>
        <v>609.08218256567534</v>
      </c>
      <c r="E54" s="520">
        <f>VLOOKUP($B54,'[12]Div 9 forecast'!$D$437:$AF$517,19,FALSE)</f>
        <v>609.18463434096066</v>
      </c>
      <c r="F54" s="520">
        <f>VLOOKUP($B54,'[12]Div 9 forecast'!$D$437:$AF$517,20,FALSE)</f>
        <v>587.24714795798582</v>
      </c>
      <c r="G54" s="520">
        <f>VLOOKUP($B54,'[12]Div 9 forecast'!$D$437:$AF$517,21,FALSE)</f>
        <v>644.11123619581826</v>
      </c>
      <c r="H54" s="520">
        <f>VLOOKUP($B54,'[12]Div 9 forecast'!$D$437:$AF$517,22,FALSE)</f>
        <v>606.70017879029103</v>
      </c>
      <c r="I54" s="520">
        <f>VLOOKUP($B54,'[12]Div 9 forecast'!$D$437:$AF$517,23,FALSE)</f>
        <v>595.95554885724027</v>
      </c>
      <c r="J54" s="520">
        <f>VLOOKUP($B54,'[12]Div 9 forecast'!$D$437:$AF$517,24,FALSE)</f>
        <v>636.01419299381087</v>
      </c>
      <c r="K54" s="520">
        <f>VLOOKUP($B54,'[12]Div 9 forecast'!$D$437:$AF$517,25,FALSE)</f>
        <v>617.06061456602174</v>
      </c>
      <c r="L54" s="520">
        <f>VLOOKUP($B54,'[12]Div 9 forecast'!$D$437:$AF$517,26,FALSE)</f>
        <v>637.01309780284305</v>
      </c>
      <c r="M54" s="520">
        <f>VLOOKUP($B54,'[12]Div 9 forecast'!$D$437:$AF$517,27,FALSE)</f>
        <v>588.80953753108724</v>
      </c>
      <c r="N54" s="520">
        <f>VLOOKUP($B54,'[12]Div 9 forecast'!$D$437:$AF$517,28,FALSE)</f>
        <v>616.88132395927232</v>
      </c>
      <c r="O54" s="520">
        <f>VLOOKUP($B54,'[12]Div 9 forecast'!$D$437:$AF$517,29,FALSE)</f>
        <v>619.90365133019009</v>
      </c>
      <c r="P54" s="107">
        <f t="shared" si="3"/>
        <v>7367.963346891197</v>
      </c>
      <c r="Q54" s="1"/>
      <c r="R54" s="1"/>
      <c r="Y54" s="933"/>
    </row>
    <row r="55" spans="1:25">
      <c r="A55" s="1113">
        <f t="shared" si="0"/>
        <v>44</v>
      </c>
      <c r="B55" s="468">
        <v>8310</v>
      </c>
      <c r="C55" s="1" t="s">
        <v>923</v>
      </c>
      <c r="D55" s="520">
        <f>VLOOKUP($B55,'[12]Div 9 forecast'!$D$437:$AF$517,18,FALSE)</f>
        <v>320.86994582042246</v>
      </c>
      <c r="E55" s="520">
        <f>VLOOKUP($B55,'[12]Div 9 forecast'!$D$437:$AF$517,19,FALSE)</f>
        <v>320.86994582042246</v>
      </c>
      <c r="F55" s="520">
        <f>VLOOKUP($B55,'[12]Div 9 forecast'!$D$437:$AF$517,20,FALSE)</f>
        <v>320.86994582042246</v>
      </c>
      <c r="G55" s="520">
        <f>VLOOKUP($B55,'[12]Div 9 forecast'!$D$437:$AF$517,21,FALSE)</f>
        <v>320.85051005284851</v>
      </c>
      <c r="H55" s="520">
        <f>VLOOKUP($B55,'[12]Div 9 forecast'!$D$437:$AF$517,22,FALSE)</f>
        <v>314.79626845355949</v>
      </c>
      <c r="I55" s="520">
        <f>VLOOKUP($B55,'[12]Div 9 forecast'!$D$437:$AF$517,23,FALSE)</f>
        <v>314.79626845355949</v>
      </c>
      <c r="J55" s="520">
        <f>VLOOKUP($B55,'[12]Div 9 forecast'!$D$437:$AF$517,24,FALSE)</f>
        <v>314.79626845355949</v>
      </c>
      <c r="K55" s="520">
        <f>VLOOKUP($B55,'[12]Div 9 forecast'!$D$437:$AF$517,25,FALSE)</f>
        <v>314.79626845355949</v>
      </c>
      <c r="L55" s="520">
        <f>VLOOKUP($B55,'[12]Div 9 forecast'!$D$437:$AF$517,26,FALSE)</f>
        <v>314.79626845355949</v>
      </c>
      <c r="M55" s="520">
        <f>VLOOKUP($B55,'[12]Div 9 forecast'!$D$437:$AF$517,27,FALSE)</f>
        <v>325.59445698819292</v>
      </c>
      <c r="N55" s="520">
        <f>VLOOKUP($B55,'[12]Div 9 forecast'!$D$437:$AF$517,28,FALSE)</f>
        <v>325.59445698819292</v>
      </c>
      <c r="O55" s="520">
        <f>VLOOKUP($B55,'[12]Div 9 forecast'!$D$437:$AF$517,29,FALSE)</f>
        <v>325.59283734089507</v>
      </c>
      <c r="P55" s="107">
        <f t="shared" si="3"/>
        <v>3834.223441099195</v>
      </c>
      <c r="Q55" s="1"/>
      <c r="R55" s="470"/>
      <c r="S55" s="1"/>
      <c r="Y55" s="933"/>
    </row>
    <row r="56" spans="1:25">
      <c r="A56" s="1113">
        <f t="shared" si="0"/>
        <v>45</v>
      </c>
      <c r="B56" s="468">
        <v>8340</v>
      </c>
      <c r="C56" s="1" t="s">
        <v>924</v>
      </c>
      <c r="D56" s="520">
        <f>VLOOKUP($B56,'[12]Div 9 forecast'!$D$437:$AF$517,18,FALSE)</f>
        <v>291.63693455376801</v>
      </c>
      <c r="E56" s="520">
        <f>VLOOKUP($B56,'[12]Div 9 forecast'!$D$437:$AF$517,19,FALSE)</f>
        <v>287.47845085735457</v>
      </c>
      <c r="F56" s="520">
        <f>VLOOKUP($B56,'[12]Div 9 forecast'!$D$437:$AF$517,20,FALSE)</f>
        <v>259.29260407842963</v>
      </c>
      <c r="G56" s="520">
        <f>VLOOKUP($B56,'[12]Div 9 forecast'!$D$437:$AF$517,21,FALSE)</f>
        <v>264.40654277938745</v>
      </c>
      <c r="H56" s="520">
        <f>VLOOKUP($B56,'[12]Div 9 forecast'!$D$437:$AF$517,22,FALSE)</f>
        <v>244.23689205496743</v>
      </c>
      <c r="I56" s="520">
        <f>VLOOKUP($B56,'[12]Div 9 forecast'!$D$437:$AF$517,23,FALSE)</f>
        <v>241.8439858442643</v>
      </c>
      <c r="J56" s="520">
        <f>VLOOKUP($B56,'[12]Div 9 forecast'!$D$437:$AF$517,24,FALSE)</f>
        <v>258.72590485209503</v>
      </c>
      <c r="K56" s="520">
        <f>VLOOKUP($B56,'[12]Div 9 forecast'!$D$437:$AF$517,25,FALSE)</f>
        <v>241.17712111608319</v>
      </c>
      <c r="L56" s="520">
        <f>VLOOKUP($B56,'[12]Div 9 forecast'!$D$437:$AF$517,26,FALSE)</f>
        <v>270.82546668482922</v>
      </c>
      <c r="M56" s="520">
        <f>VLOOKUP($B56,'[12]Div 9 forecast'!$D$437:$AF$517,27,FALSE)</f>
        <v>252.4652030535687</v>
      </c>
      <c r="N56" s="520">
        <f>VLOOKUP($B56,'[12]Div 9 forecast'!$D$437:$AF$517,28,FALSE)</f>
        <v>249.45589168697381</v>
      </c>
      <c r="O56" s="520">
        <f>VLOOKUP($B56,'[12]Div 9 forecast'!$D$437:$AF$517,29,FALSE)</f>
        <v>244.5445432489982</v>
      </c>
      <c r="P56" s="107">
        <f t="shared" si="3"/>
        <v>3106.0895408107194</v>
      </c>
      <c r="Q56" s="1"/>
      <c r="R56" s="470"/>
      <c r="S56" s="1"/>
      <c r="Y56" s="933"/>
    </row>
    <row r="57" spans="1:25">
      <c r="A57" s="1113">
        <f t="shared" si="0"/>
        <v>46</v>
      </c>
      <c r="B57" s="468">
        <v>8350</v>
      </c>
      <c r="C57" s="1" t="s">
        <v>925</v>
      </c>
      <c r="D57" s="520">
        <f>VLOOKUP($B57,'[12]Div 9 forecast'!$D$437:$AF$517,18,FALSE)</f>
        <v>200.02387050858761</v>
      </c>
      <c r="E57" s="520">
        <f>VLOOKUP($B57,'[12]Div 9 forecast'!$D$437:$AF$517,19,FALSE)</f>
        <v>192.11756888816376</v>
      </c>
      <c r="F57" s="520">
        <f>VLOOKUP($B57,'[12]Div 9 forecast'!$D$437:$AF$517,20,FALSE)</f>
        <v>207.27418458850309</v>
      </c>
      <c r="G57" s="520">
        <f>VLOOKUP($B57,'[12]Div 9 forecast'!$D$437:$AF$517,21,FALSE)</f>
        <v>199.53451651951954</v>
      </c>
      <c r="H57" s="520">
        <f>VLOOKUP($B57,'[12]Div 9 forecast'!$D$437:$AF$517,22,FALSE)</f>
        <v>205.01553721225585</v>
      </c>
      <c r="I57" s="520">
        <f>VLOOKUP($B57,'[12]Div 9 forecast'!$D$437:$AF$517,23,FALSE)</f>
        <v>196.90601746478609</v>
      </c>
      <c r="J57" s="520">
        <f>VLOOKUP($B57,'[12]Div 9 forecast'!$D$437:$AF$517,24,FALSE)</f>
        <v>213.34243458907835</v>
      </c>
      <c r="K57" s="520">
        <f>VLOOKUP($B57,'[12]Div 9 forecast'!$D$437:$AF$517,25,FALSE)</f>
        <v>196.89403332156817</v>
      </c>
      <c r="L57" s="520">
        <f>VLOOKUP($B57,'[12]Div 9 forecast'!$D$437:$AF$517,26,FALSE)</f>
        <v>197.42684005800976</v>
      </c>
      <c r="M57" s="520">
        <f>VLOOKUP($B57,'[12]Div 9 forecast'!$D$437:$AF$517,27,FALSE)</f>
        <v>213.22992429452003</v>
      </c>
      <c r="N57" s="520">
        <f>VLOOKUP($B57,'[12]Div 9 forecast'!$D$437:$AF$517,28,FALSE)</f>
        <v>197.04281007942797</v>
      </c>
      <c r="O57" s="520">
        <f>VLOOKUP($B57,'[12]Div 9 forecast'!$D$437:$AF$517,29,FALSE)</f>
        <v>205.0210659736592</v>
      </c>
      <c r="P57" s="107">
        <f t="shared" si="3"/>
        <v>2423.8288034980792</v>
      </c>
      <c r="Q57" s="1"/>
      <c r="R57" s="470"/>
      <c r="S57" s="1"/>
      <c r="Y57" s="933"/>
    </row>
    <row r="58" spans="1:25">
      <c r="A58" s="1113">
        <f t="shared" si="0"/>
        <v>47</v>
      </c>
      <c r="B58" s="468">
        <v>8360</v>
      </c>
      <c r="C58" s="1" t="s">
        <v>926</v>
      </c>
      <c r="D58" s="520">
        <f>VLOOKUP($B58,'[12]Div 9 forecast'!$D$437:$AF$517,18,FALSE)</f>
        <v>20.387912110986417</v>
      </c>
      <c r="E58" s="520">
        <f>VLOOKUP($B58,'[12]Div 9 forecast'!$D$437:$AF$517,19,FALSE)</f>
        <v>19.568182237875604</v>
      </c>
      <c r="F58" s="520">
        <f>VLOOKUP($B58,'[12]Div 9 forecast'!$D$437:$AF$517,20,FALSE)</f>
        <v>21.207641984097229</v>
      </c>
      <c r="G58" s="520">
        <f>VLOOKUP($B58,'[12]Div 9 forecast'!$D$437:$AF$517,21,FALSE)</f>
        <v>20.387912110986417</v>
      </c>
      <c r="H58" s="520">
        <f>VLOOKUP($B58,'[12]Div 9 forecast'!$D$437:$AF$517,22,FALSE)</f>
        <v>20.999549474316009</v>
      </c>
      <c r="I58" s="520">
        <f>VLOOKUP($B58,'[12]Div 9 forecast'!$D$437:$AF$517,23,FALSE)</f>
        <v>20.155227705011875</v>
      </c>
      <c r="J58" s="520">
        <f>VLOOKUP($B58,'[12]Div 9 forecast'!$D$437:$AF$517,24,FALSE)</f>
        <v>21.843871243620146</v>
      </c>
      <c r="K58" s="520">
        <f>VLOOKUP($B58,'[12]Div 9 forecast'!$D$437:$AF$517,25,FALSE)</f>
        <v>20.155227705011875</v>
      </c>
      <c r="L58" s="520">
        <f>VLOOKUP($B58,'[12]Div 9 forecast'!$D$437:$AF$517,26,FALSE)</f>
        <v>20.155227705011875</v>
      </c>
      <c r="M58" s="520">
        <f>VLOOKUP($B58,'[12]Div 9 forecast'!$D$437:$AF$517,27,FALSE)</f>
        <v>21.843871243620146</v>
      </c>
      <c r="N58" s="520">
        <f>VLOOKUP($B58,'[12]Div 9 forecast'!$D$437:$AF$517,28,FALSE)</f>
        <v>20.155227705011875</v>
      </c>
      <c r="O58" s="520">
        <f>VLOOKUP($B58,'[12]Div 9 forecast'!$D$437:$AF$517,29,FALSE)</f>
        <v>20.999549474316009</v>
      </c>
      <c r="P58" s="107">
        <f t="shared" ref="P58:P93" si="4">SUM(D58:O58)</f>
        <v>247.85940069986549</v>
      </c>
      <c r="Q58" s="1"/>
      <c r="R58" s="470"/>
      <c r="S58" s="1"/>
      <c r="Y58" s="933"/>
    </row>
    <row r="59" spans="1:25">
      <c r="A59" s="1113">
        <f t="shared" si="0"/>
        <v>48</v>
      </c>
      <c r="B59" s="468">
        <v>8370</v>
      </c>
      <c r="C59" s="1" t="s">
        <v>1386</v>
      </c>
      <c r="D59" s="520">
        <f>VLOOKUP($B59,'[12]Div 9 forecast'!$D$437:$AF$517,18,FALSE)</f>
        <v>0</v>
      </c>
      <c r="E59" s="520">
        <f>VLOOKUP($B59,'[12]Div 9 forecast'!$D$437:$AF$517,19,FALSE)</f>
        <v>0</v>
      </c>
      <c r="F59" s="520">
        <f>VLOOKUP($B59,'[12]Div 9 forecast'!$D$437:$AF$517,20,FALSE)</f>
        <v>0</v>
      </c>
      <c r="G59" s="520">
        <f>VLOOKUP($B59,'[12]Div 9 forecast'!$D$437:$AF$517,21,FALSE)</f>
        <v>0</v>
      </c>
      <c r="H59" s="520">
        <f>VLOOKUP($B59,'[12]Div 9 forecast'!$D$437:$AF$517,22,FALSE)</f>
        <v>0</v>
      </c>
      <c r="I59" s="520">
        <f>VLOOKUP($B59,'[12]Div 9 forecast'!$D$437:$AF$517,23,FALSE)</f>
        <v>0</v>
      </c>
      <c r="J59" s="520">
        <f>VLOOKUP($B59,'[12]Div 9 forecast'!$D$437:$AF$517,24,FALSE)</f>
        <v>0</v>
      </c>
      <c r="K59" s="520">
        <f>VLOOKUP($B59,'[12]Div 9 forecast'!$D$437:$AF$517,25,FALSE)</f>
        <v>0</v>
      </c>
      <c r="L59" s="520">
        <f>VLOOKUP($B59,'[12]Div 9 forecast'!$D$437:$AF$517,26,FALSE)</f>
        <v>0</v>
      </c>
      <c r="M59" s="520">
        <f>VLOOKUP($B59,'[12]Div 9 forecast'!$D$437:$AF$517,27,FALSE)</f>
        <v>0</v>
      </c>
      <c r="N59" s="520">
        <f>VLOOKUP($B59,'[12]Div 9 forecast'!$D$437:$AF$517,28,FALSE)</f>
        <v>0</v>
      </c>
      <c r="O59" s="520">
        <f>VLOOKUP($B59,'[12]Div 9 forecast'!$D$437:$AF$517,29,FALSE)</f>
        <v>0</v>
      </c>
      <c r="P59" s="107">
        <f t="shared" si="4"/>
        <v>0</v>
      </c>
      <c r="Q59" s="1"/>
      <c r="R59" s="470"/>
      <c r="S59" s="1"/>
      <c r="Y59" s="933"/>
    </row>
    <row r="60" spans="1:25">
      <c r="A60" s="1113">
        <f t="shared" si="0"/>
        <v>49</v>
      </c>
      <c r="B60" s="468">
        <v>8410</v>
      </c>
      <c r="C60" s="1" t="s">
        <v>193</v>
      </c>
      <c r="D60" s="520">
        <f>VLOOKUP($B60,'[12]Div 9 forecast'!$D$437:$AF$517,18,FALSE)</f>
        <v>10645.612227755166</v>
      </c>
      <c r="E60" s="520">
        <f>VLOOKUP($B60,'[12]Div 9 forecast'!$D$437:$AF$517,19,FALSE)</f>
        <v>10222.484128913829</v>
      </c>
      <c r="F60" s="520">
        <f>VLOOKUP($B60,'[12]Div 9 forecast'!$D$437:$AF$517,20,FALSE)</f>
        <v>11056.239172702401</v>
      </c>
      <c r="G60" s="520">
        <f>VLOOKUP($B60,'[12]Div 9 forecast'!$D$437:$AF$517,21,FALSE)</f>
        <v>10640.369085146425</v>
      </c>
      <c r="H60" s="520">
        <f>VLOOKUP($B60,'[12]Div 9 forecast'!$D$437:$AF$517,22,FALSE)</f>
        <v>10976.565567748243</v>
      </c>
      <c r="I60" s="520">
        <f>VLOOKUP($B60,'[12]Div 9 forecast'!$D$437:$AF$517,23,FALSE)</f>
        <v>10512.911534171833</v>
      </c>
      <c r="J60" s="520">
        <f>VLOOKUP($B60,'[12]Div 9 forecast'!$D$437:$AF$517,24,FALSE)</f>
        <v>11393.781023987289</v>
      </c>
      <c r="K60" s="520">
        <f>VLOOKUP($B60,'[12]Div 9 forecast'!$D$437:$AF$517,25,FALSE)</f>
        <v>10509.83445295761</v>
      </c>
      <c r="L60" s="520">
        <f>VLOOKUP($B60,'[12]Div 9 forecast'!$D$437:$AF$517,26,FALSE)</f>
        <v>10514.719087197984</v>
      </c>
      <c r="M60" s="520">
        <f>VLOOKUP($B60,'[12]Div 9 forecast'!$D$437:$AF$517,27,FALSE)</f>
        <v>11388.892038266453</v>
      </c>
      <c r="N60" s="520">
        <f>VLOOKUP($B60,'[12]Div 9 forecast'!$D$437:$AF$517,28,FALSE)</f>
        <v>10524.570644122701</v>
      </c>
      <c r="O60" s="520">
        <f>VLOOKUP($B60,'[12]Div 9 forecast'!$D$437:$AF$517,29,FALSE)</f>
        <v>10950.171240844327</v>
      </c>
      <c r="P60" s="107">
        <f t="shared" si="4"/>
        <v>129336.15020381426</v>
      </c>
      <c r="Q60" s="1"/>
      <c r="R60" s="470"/>
      <c r="S60" s="1"/>
      <c r="Y60" s="933"/>
    </row>
    <row r="61" spans="1:25">
      <c r="A61" s="1113">
        <f t="shared" si="0"/>
        <v>50</v>
      </c>
      <c r="B61" s="468">
        <v>8520</v>
      </c>
      <c r="C61" s="1" t="s">
        <v>1387</v>
      </c>
      <c r="D61" s="520">
        <f>VLOOKUP($B61,'[12]Div 9 forecast'!$D$437:$AF$517,18,FALSE)</f>
        <v>0</v>
      </c>
      <c r="E61" s="520">
        <f>VLOOKUP($B61,'[12]Div 9 forecast'!$D$437:$AF$517,19,FALSE)</f>
        <v>0</v>
      </c>
      <c r="F61" s="520">
        <f>VLOOKUP($B61,'[12]Div 9 forecast'!$D$437:$AF$517,20,FALSE)</f>
        <v>0</v>
      </c>
      <c r="G61" s="520">
        <f>VLOOKUP($B61,'[12]Div 9 forecast'!$D$437:$AF$517,21,FALSE)</f>
        <v>0</v>
      </c>
      <c r="H61" s="520">
        <f>VLOOKUP($B61,'[12]Div 9 forecast'!$D$437:$AF$517,22,FALSE)</f>
        <v>0</v>
      </c>
      <c r="I61" s="520">
        <f>VLOOKUP($B61,'[12]Div 9 forecast'!$D$437:$AF$517,23,FALSE)</f>
        <v>0</v>
      </c>
      <c r="J61" s="520">
        <f>VLOOKUP($B61,'[12]Div 9 forecast'!$D$437:$AF$517,24,FALSE)</f>
        <v>0</v>
      </c>
      <c r="K61" s="520">
        <f>VLOOKUP($B61,'[12]Div 9 forecast'!$D$437:$AF$517,25,FALSE)</f>
        <v>0</v>
      </c>
      <c r="L61" s="520">
        <f>VLOOKUP($B61,'[12]Div 9 forecast'!$D$437:$AF$517,26,FALSE)</f>
        <v>0</v>
      </c>
      <c r="M61" s="520">
        <f>VLOOKUP($B61,'[12]Div 9 forecast'!$D$437:$AF$517,27,FALSE)</f>
        <v>0</v>
      </c>
      <c r="N61" s="520">
        <f>VLOOKUP($B61,'[12]Div 9 forecast'!$D$437:$AF$517,28,FALSE)</f>
        <v>0</v>
      </c>
      <c r="O61" s="520">
        <f>VLOOKUP($B61,'[12]Div 9 forecast'!$D$437:$AF$517,29,FALSE)</f>
        <v>0</v>
      </c>
      <c r="P61" s="107">
        <f t="shared" si="4"/>
        <v>0</v>
      </c>
      <c r="Q61" s="1"/>
      <c r="R61" s="470"/>
      <c r="S61" s="1"/>
      <c r="Y61" s="933"/>
    </row>
    <row r="62" spans="1:25" s="1058" customFormat="1">
      <c r="A62" s="1113">
        <f t="shared" si="0"/>
        <v>51</v>
      </c>
      <c r="B62" s="1061">
        <v>8550</v>
      </c>
      <c r="C62" s="119" t="s">
        <v>1463</v>
      </c>
      <c r="D62" s="520">
        <f>VLOOKUP($B62,'[12]Div 9 forecast'!$D$437:$AF$517,18,FALSE)</f>
        <v>4.1529349398989162</v>
      </c>
      <c r="E62" s="520">
        <f>VLOOKUP($B62,'[12]Div 9 forecast'!$D$437:$AF$517,19,FALSE)</f>
        <v>4.1536465493454777</v>
      </c>
      <c r="F62" s="520">
        <f>VLOOKUP($B62,'[12]Div 9 forecast'!$D$437:$AF$517,20,FALSE)</f>
        <v>4.0012731766004173</v>
      </c>
      <c r="G62" s="520">
        <f>VLOOKUP($B62,'[12]Div 9 forecast'!$D$437:$AF$517,21,FALSE)</f>
        <v>4.3955617387514199</v>
      </c>
      <c r="H62" s="520">
        <f>VLOOKUP($B62,'[12]Div 9 forecast'!$D$437:$AF$517,22,FALSE)</f>
        <v>4.1363900202663526</v>
      </c>
      <c r="I62" s="520">
        <f>VLOOKUP($B62,'[12]Div 9 forecast'!$D$437:$AF$517,23,FALSE)</f>
        <v>4.0617599795581762</v>
      </c>
      <c r="J62" s="520">
        <f>VLOOKUP($B62,'[12]Div 9 forecast'!$D$437:$AF$517,24,FALSE)</f>
        <v>4.3399992731638681</v>
      </c>
      <c r="K62" s="520">
        <f>VLOOKUP($B62,'[12]Div 9 forecast'!$D$437:$AF$517,25,FALSE)</f>
        <v>4.2083515255499222</v>
      </c>
      <c r="L62" s="520">
        <f>VLOOKUP($B62,'[12]Div 9 forecast'!$D$437:$AF$517,26,FALSE)</f>
        <v>4.3469374652678461</v>
      </c>
      <c r="M62" s="520">
        <f>VLOOKUP($B62,'[12]Div 9 forecast'!$D$437:$AF$517,27,FALSE)</f>
        <v>4.0121252206604856</v>
      </c>
      <c r="N62" s="520">
        <f>VLOOKUP($B62,'[12]Div 9 forecast'!$D$437:$AF$517,28,FALSE)</f>
        <v>4.2071062090184386</v>
      </c>
      <c r="O62" s="520">
        <f>VLOOKUP($B62,'[12]Div 9 forecast'!$D$437:$AF$517,29,FALSE)</f>
        <v>4.2280986876920137</v>
      </c>
      <c r="P62" s="107">
        <f t="shared" si="4"/>
        <v>50.244184785773342</v>
      </c>
      <c r="Q62" s="1"/>
      <c r="R62" s="470"/>
      <c r="S62" s="1"/>
      <c r="Y62" s="933"/>
    </row>
    <row r="63" spans="1:25">
      <c r="A63" s="1113">
        <f t="shared" si="0"/>
        <v>52</v>
      </c>
      <c r="B63" s="468">
        <v>8560</v>
      </c>
      <c r="C63" s="1" t="s">
        <v>928</v>
      </c>
      <c r="D63" s="520">
        <f>VLOOKUP($B63,'[12]Div 9 forecast'!$D$437:$AF$517,18,FALSE)</f>
        <v>25812.842043372275</v>
      </c>
      <c r="E63" s="520">
        <f>VLOOKUP($B63,'[12]Div 9 forecast'!$D$437:$AF$517,19,FALSE)</f>
        <v>25591.392860703771</v>
      </c>
      <c r="F63" s="520">
        <f>VLOOKUP($B63,'[12]Div 9 forecast'!$D$437:$AF$517,20,FALSE)</f>
        <v>26017.977168608661</v>
      </c>
      <c r="G63" s="520">
        <f>VLOOKUP($B63,'[12]Div 9 forecast'!$D$437:$AF$517,21,FALSE)</f>
        <v>25692.729134923837</v>
      </c>
      <c r="H63" s="520">
        <f>VLOOKUP($B63,'[12]Div 9 forecast'!$D$437:$AF$517,22,FALSE)</f>
        <v>25640.959799519318</v>
      </c>
      <c r="I63" s="520">
        <f>VLOOKUP($B63,'[12]Div 9 forecast'!$D$437:$AF$517,23,FALSE)</f>
        <v>24969.288971364091</v>
      </c>
      <c r="J63" s="520">
        <f>VLOOKUP($B63,'[12]Div 9 forecast'!$D$437:$AF$517,24,FALSE)</f>
        <v>26055.178627343412</v>
      </c>
      <c r="K63" s="520">
        <f>VLOOKUP($B63,'[12]Div 9 forecast'!$D$437:$AF$517,25,FALSE)</f>
        <v>24961.669237598609</v>
      </c>
      <c r="L63" s="520">
        <f>VLOOKUP($B63,'[12]Div 9 forecast'!$D$437:$AF$517,26,FALSE)</f>
        <v>25124.024199215804</v>
      </c>
      <c r="M63" s="520">
        <f>VLOOKUP($B63,'[12]Div 9 forecast'!$D$437:$AF$517,27,FALSE)</f>
        <v>26322.692453660671</v>
      </c>
      <c r="N63" s="520">
        <f>VLOOKUP($B63,'[12]Div 9 forecast'!$D$437:$AF$517,28,FALSE)</f>
        <v>25889.446080857339</v>
      </c>
      <c r="O63" s="520">
        <f>VLOOKUP($B63,'[12]Div 9 forecast'!$D$437:$AF$517,29,FALSE)</f>
        <v>25762.975515062768</v>
      </c>
      <c r="P63" s="107">
        <f t="shared" si="4"/>
        <v>307841.17609223054</v>
      </c>
      <c r="Q63" s="1"/>
      <c r="R63" s="470"/>
      <c r="S63" s="1"/>
      <c r="Y63" s="933"/>
    </row>
    <row r="64" spans="1:25">
      <c r="A64" s="1113">
        <f t="shared" si="0"/>
        <v>53</v>
      </c>
      <c r="B64" s="468">
        <v>8570</v>
      </c>
      <c r="C64" s="1" t="s">
        <v>929</v>
      </c>
      <c r="D64" s="520">
        <f>VLOOKUP($B64,'[12]Div 9 forecast'!$D$437:$AF$517,18,FALSE)</f>
        <v>2819.8055510681033</v>
      </c>
      <c r="E64" s="520">
        <f>VLOOKUP($B64,'[12]Div 9 forecast'!$D$437:$AF$517,19,FALSE)</f>
        <v>2739.7455682343807</v>
      </c>
      <c r="F64" s="520">
        <f>VLOOKUP($B64,'[12]Div 9 forecast'!$D$437:$AF$517,20,FALSE)</f>
        <v>2822.6873972882563</v>
      </c>
      <c r="G64" s="520">
        <f>VLOOKUP($B64,'[12]Div 9 forecast'!$D$437:$AF$517,21,FALSE)</f>
        <v>2807.3294873012223</v>
      </c>
      <c r="H64" s="520">
        <f>VLOOKUP($B64,'[12]Div 9 forecast'!$D$437:$AF$517,22,FALSE)</f>
        <v>2797.2435011534976</v>
      </c>
      <c r="I64" s="520">
        <f>VLOOKUP($B64,'[12]Div 9 forecast'!$D$437:$AF$517,23,FALSE)</f>
        <v>2708.2186208403709</v>
      </c>
      <c r="J64" s="520">
        <f>VLOOKUP($B64,'[12]Div 9 forecast'!$D$437:$AF$517,24,FALSE)</f>
        <v>2921.8671166327777</v>
      </c>
      <c r="K64" s="520">
        <f>VLOOKUP($B64,'[12]Div 9 forecast'!$D$437:$AF$517,25,FALSE)</f>
        <v>2725.768776736174</v>
      </c>
      <c r="L64" s="520">
        <f>VLOOKUP($B64,'[12]Div 9 forecast'!$D$437:$AF$517,26,FALSE)</f>
        <v>2790.4832886671647</v>
      </c>
      <c r="M64" s="520">
        <f>VLOOKUP($B64,'[12]Div 9 forecast'!$D$437:$AF$517,27,FALSE)</f>
        <v>2870.2927256163248</v>
      </c>
      <c r="N64" s="520">
        <f>VLOOKUP($B64,'[12]Div 9 forecast'!$D$437:$AF$517,28,FALSE)</f>
        <v>2738.7683275646186</v>
      </c>
      <c r="O64" s="520">
        <f>VLOOKUP($B64,'[12]Div 9 forecast'!$D$437:$AF$517,29,FALSE)</f>
        <v>2809.3750133042113</v>
      </c>
      <c r="P64" s="107">
        <f t="shared" si="4"/>
        <v>33551.585374407099</v>
      </c>
      <c r="Q64" s="1"/>
      <c r="R64" s="470"/>
      <c r="S64" s="1"/>
      <c r="Y64" s="933"/>
    </row>
    <row r="65" spans="1:25">
      <c r="A65" s="1113">
        <f t="shared" si="0"/>
        <v>54</v>
      </c>
      <c r="B65" s="468">
        <v>8630</v>
      </c>
      <c r="C65" s="1" t="s">
        <v>930</v>
      </c>
      <c r="D65" s="520">
        <f>VLOOKUP($B65,'[12]Div 9 forecast'!$D$437:$AF$517,18,FALSE)</f>
        <v>486.12976965845797</v>
      </c>
      <c r="E65" s="520">
        <f>VLOOKUP($B65,'[12]Div 9 forecast'!$D$437:$AF$517,19,FALSE)</f>
        <v>466.58411475136342</v>
      </c>
      <c r="F65" s="520">
        <f>VLOOKUP($B65,'[12]Div 9 forecast'!$D$437:$AF$517,20,FALSE)</f>
        <v>505.6754245655527</v>
      </c>
      <c r="G65" s="520">
        <f>VLOOKUP($B65,'[12]Div 9 forecast'!$D$437:$AF$517,21,FALSE)</f>
        <v>486.12976965845797</v>
      </c>
      <c r="H65" s="520">
        <f>VLOOKUP($B65,'[12]Div 9 forecast'!$D$437:$AF$517,22,FALSE)</f>
        <v>500.71366274821179</v>
      </c>
      <c r="I65" s="520">
        <f>VLOOKUP($B65,'[12]Div 9 forecast'!$D$437:$AF$517,23,FALSE)</f>
        <v>480.58163819390427</v>
      </c>
      <c r="J65" s="520">
        <f>VLOOKUP($B65,'[12]Div 9 forecast'!$D$437:$AF$517,24,FALSE)</f>
        <v>520.84568730251931</v>
      </c>
      <c r="K65" s="520">
        <f>VLOOKUP($B65,'[12]Div 9 forecast'!$D$437:$AF$517,25,FALSE)</f>
        <v>480.58163819390427</v>
      </c>
      <c r="L65" s="520">
        <f>VLOOKUP($B65,'[12]Div 9 forecast'!$D$437:$AF$517,26,FALSE)</f>
        <v>480.58163819390427</v>
      </c>
      <c r="M65" s="520">
        <f>VLOOKUP($B65,'[12]Div 9 forecast'!$D$437:$AF$517,27,FALSE)</f>
        <v>520.84568730251931</v>
      </c>
      <c r="N65" s="520">
        <f>VLOOKUP($B65,'[12]Div 9 forecast'!$D$437:$AF$517,28,FALSE)</f>
        <v>480.58163819390427</v>
      </c>
      <c r="O65" s="520">
        <f>VLOOKUP($B65,'[12]Div 9 forecast'!$D$437:$AF$517,29,FALSE)</f>
        <v>500.71366274821179</v>
      </c>
      <c r="P65" s="107">
        <f t="shared" si="4"/>
        <v>5909.9643315109106</v>
      </c>
      <c r="Q65" s="1"/>
      <c r="R65" s="470"/>
      <c r="S65" s="1"/>
      <c r="Y65" s="933"/>
    </row>
    <row r="66" spans="1:25">
      <c r="A66" s="1113">
        <f t="shared" si="0"/>
        <v>55</v>
      </c>
      <c r="B66" s="468">
        <v>8640</v>
      </c>
      <c r="C66" s="1" t="s">
        <v>1388</v>
      </c>
      <c r="D66" s="520">
        <f>VLOOKUP($B66,'[12]Div 9 forecast'!$D$437:$AF$517,18,FALSE)</f>
        <v>0</v>
      </c>
      <c r="E66" s="520">
        <f>VLOOKUP($B66,'[12]Div 9 forecast'!$D$437:$AF$517,19,FALSE)</f>
        <v>0</v>
      </c>
      <c r="F66" s="520">
        <f>VLOOKUP($B66,'[12]Div 9 forecast'!$D$437:$AF$517,20,FALSE)</f>
        <v>0</v>
      </c>
      <c r="G66" s="520">
        <f>VLOOKUP($B66,'[12]Div 9 forecast'!$D$437:$AF$517,21,FALSE)</f>
        <v>0</v>
      </c>
      <c r="H66" s="520">
        <f>VLOOKUP($B66,'[12]Div 9 forecast'!$D$437:$AF$517,22,FALSE)</f>
        <v>0</v>
      </c>
      <c r="I66" s="520">
        <f>VLOOKUP($B66,'[12]Div 9 forecast'!$D$437:$AF$517,23,FALSE)</f>
        <v>0</v>
      </c>
      <c r="J66" s="520">
        <f>VLOOKUP($B66,'[12]Div 9 forecast'!$D$437:$AF$517,24,FALSE)</f>
        <v>0</v>
      </c>
      <c r="K66" s="520">
        <f>VLOOKUP($B66,'[12]Div 9 forecast'!$D$437:$AF$517,25,FALSE)</f>
        <v>0</v>
      </c>
      <c r="L66" s="520">
        <f>VLOOKUP($B66,'[12]Div 9 forecast'!$D$437:$AF$517,26,FALSE)</f>
        <v>0</v>
      </c>
      <c r="M66" s="520">
        <f>VLOOKUP($B66,'[12]Div 9 forecast'!$D$437:$AF$517,27,FALSE)</f>
        <v>0</v>
      </c>
      <c r="N66" s="520">
        <f>VLOOKUP($B66,'[12]Div 9 forecast'!$D$437:$AF$517,28,FALSE)</f>
        <v>0</v>
      </c>
      <c r="O66" s="520">
        <f>VLOOKUP($B66,'[12]Div 9 forecast'!$D$437:$AF$517,29,FALSE)</f>
        <v>0</v>
      </c>
      <c r="P66" s="107">
        <f t="shared" si="4"/>
        <v>0</v>
      </c>
      <c r="Q66" s="1"/>
      <c r="R66" s="470"/>
      <c r="S66" s="1"/>
      <c r="Y66" s="933"/>
    </row>
    <row r="67" spans="1:25">
      <c r="A67" s="1113">
        <f t="shared" si="0"/>
        <v>56</v>
      </c>
      <c r="B67" s="468">
        <v>8650</v>
      </c>
      <c r="C67" s="1" t="s">
        <v>931</v>
      </c>
      <c r="D67" s="520">
        <f>VLOOKUP($B67,'[12]Div 9 forecast'!$D$437:$AF$517,18,FALSE)</f>
        <v>478.03987248767186</v>
      </c>
      <c r="E67" s="520">
        <f>VLOOKUP($B67,'[12]Div 9 forecast'!$D$437:$AF$517,19,FALSE)</f>
        <v>459.11404964614985</v>
      </c>
      <c r="F67" s="520">
        <f>VLOOKUP($B67,'[12]Div 9 forecast'!$D$437:$AF$517,20,FALSE)</f>
        <v>496.26585987824342</v>
      </c>
      <c r="G67" s="520">
        <f>VLOOKUP($B67,'[12]Div 9 forecast'!$D$437:$AF$517,21,FALSE)</f>
        <v>477.46005785412859</v>
      </c>
      <c r="H67" s="520">
        <f>VLOOKUP($B67,'[12]Div 9 forecast'!$D$437:$AF$517,22,FALSE)</f>
        <v>491.12276721089353</v>
      </c>
      <c r="I67" s="520">
        <f>VLOOKUP($B67,'[12]Div 9 forecast'!$D$437:$AF$517,23,FALSE)</f>
        <v>471.52000033118452</v>
      </c>
      <c r="J67" s="520">
        <f>VLOOKUP($B67,'[12]Div 9 forecast'!$D$437:$AF$517,24,FALSE)</f>
        <v>510.86661983238918</v>
      </c>
      <c r="K67" s="520">
        <f>VLOOKUP($B67,'[12]Div 9 forecast'!$D$437:$AF$517,25,FALSE)</f>
        <v>471.49801239757392</v>
      </c>
      <c r="L67" s="520">
        <f>VLOOKUP($B67,'[12]Div 9 forecast'!$D$437:$AF$517,26,FALSE)</f>
        <v>472.12043912954903</v>
      </c>
      <c r="M67" s="520">
        <f>VLOOKUP($B67,'[12]Div 9 forecast'!$D$437:$AF$517,27,FALSE)</f>
        <v>510.76090466699458</v>
      </c>
      <c r="N67" s="520">
        <f>VLOOKUP($B67,'[12]Div 9 forecast'!$D$437:$AF$517,28,FALSE)</f>
        <v>471.87597138408449</v>
      </c>
      <c r="O67" s="520">
        <f>VLOOKUP($B67,'[12]Div 9 forecast'!$D$437:$AF$517,29,FALSE)</f>
        <v>491.07086736121408</v>
      </c>
      <c r="P67" s="107">
        <f t="shared" si="4"/>
        <v>5801.7154221800774</v>
      </c>
      <c r="Q67" s="1"/>
      <c r="R67" s="470"/>
      <c r="S67" s="1"/>
      <c r="Y67" s="933"/>
    </row>
    <row r="68" spans="1:25">
      <c r="A68" s="1113">
        <f t="shared" si="0"/>
        <v>57</v>
      </c>
      <c r="B68" s="468">
        <v>8700</v>
      </c>
      <c r="C68" s="1" t="s">
        <v>932</v>
      </c>
      <c r="D68" s="520">
        <f>VLOOKUP($B68,'[12]Div 9 forecast'!$D$437:$AF$517,18,FALSE)</f>
        <v>88762.110169980078</v>
      </c>
      <c r="E68" s="520">
        <f>VLOOKUP($B68,'[12]Div 9 forecast'!$D$437:$AF$517,19,FALSE)</f>
        <v>86602.942689165386</v>
      </c>
      <c r="F68" s="520">
        <f>VLOOKUP($B68,'[12]Div 9 forecast'!$D$437:$AF$517,20,FALSE)</f>
        <v>88417.214510360835</v>
      </c>
      <c r="G68" s="520">
        <f>VLOOKUP($B68,'[12]Div 9 forecast'!$D$437:$AF$517,21,FALSE)</f>
        <v>90658.520908078834</v>
      </c>
      <c r="H68" s="520">
        <f>VLOOKUP($B68,'[12]Div 9 forecast'!$D$437:$AF$517,22,FALSE)</f>
        <v>91585.963794476047</v>
      </c>
      <c r="I68" s="520">
        <f>VLOOKUP($B68,'[12]Div 9 forecast'!$D$437:$AF$517,23,FALSE)</f>
        <v>86735.553157831106</v>
      </c>
      <c r="J68" s="520">
        <f>VLOOKUP($B68,'[12]Div 9 forecast'!$D$437:$AF$517,24,FALSE)</f>
        <v>91562.138461354087</v>
      </c>
      <c r="K68" s="520">
        <f>VLOOKUP($B68,'[12]Div 9 forecast'!$D$437:$AF$517,25,FALSE)</f>
        <v>87447.781151427393</v>
      </c>
      <c r="L68" s="520">
        <f>VLOOKUP($B68,'[12]Div 9 forecast'!$D$437:$AF$517,26,FALSE)</f>
        <v>86534.246397565381</v>
      </c>
      <c r="M68" s="520">
        <f>VLOOKUP($B68,'[12]Div 9 forecast'!$D$437:$AF$517,27,FALSE)</f>
        <v>90440.208532591059</v>
      </c>
      <c r="N68" s="520">
        <f>VLOOKUP($B68,'[12]Div 9 forecast'!$D$437:$AF$517,28,FALSE)</f>
        <v>89515.107551907437</v>
      </c>
      <c r="O68" s="520">
        <f>VLOOKUP($B68,'[12]Div 9 forecast'!$D$437:$AF$517,29,FALSE)</f>
        <v>88078.206284641521</v>
      </c>
      <c r="P68" s="107">
        <f t="shared" si="4"/>
        <v>1066339.993609379</v>
      </c>
      <c r="Q68" s="1"/>
      <c r="R68" s="470"/>
      <c r="S68" s="1"/>
      <c r="Y68" s="933"/>
    </row>
    <row r="69" spans="1:25">
      <c r="A69" s="1113">
        <f t="shared" si="0"/>
        <v>58</v>
      </c>
      <c r="B69" s="468">
        <v>8710</v>
      </c>
      <c r="C69" s="1" t="s">
        <v>933</v>
      </c>
      <c r="D69" s="520">
        <f>VLOOKUP($B69,'[12]Div 9 forecast'!$D$437:$AF$517,18,FALSE)</f>
        <v>146.74119997432862</v>
      </c>
      <c r="E69" s="520">
        <f>VLOOKUP($B69,'[12]Div 9 forecast'!$D$437:$AF$517,19,FALSE)</f>
        <v>146.76634422185785</v>
      </c>
      <c r="F69" s="520">
        <f>VLOOKUP($B69,'[12]Div 9 forecast'!$D$437:$AF$517,20,FALSE)</f>
        <v>141.38233221966402</v>
      </c>
      <c r="G69" s="520">
        <f>VLOOKUP($B69,'[12]Div 9 forecast'!$D$437:$AF$517,21,FALSE)</f>
        <v>155.31425689065324</v>
      </c>
      <c r="H69" s="520">
        <f>VLOOKUP($B69,'[12]Div 9 forecast'!$D$437:$AF$517,22,FALSE)</f>
        <v>146.15659621927432</v>
      </c>
      <c r="I69" s="520">
        <f>VLOOKUP($B69,'[12]Div 9 forecast'!$D$437:$AF$517,23,FALSE)</f>
        <v>143.51959325964756</v>
      </c>
      <c r="J69" s="520">
        <f>VLOOKUP($B69,'[12]Div 9 forecast'!$D$437:$AF$517,24,FALSE)</f>
        <v>153.35099404357183</v>
      </c>
      <c r="K69" s="520">
        <f>VLOOKUP($B69,'[12]Div 9 forecast'!$D$437:$AF$517,25,FALSE)</f>
        <v>148.69930825066649</v>
      </c>
      <c r="L69" s="520">
        <f>VLOOKUP($B69,'[12]Div 9 forecast'!$D$437:$AF$517,26,FALSE)</f>
        <v>153.59615045698172</v>
      </c>
      <c r="M69" s="520">
        <f>VLOOKUP($B69,'[12]Div 9 forecast'!$D$437:$AF$517,27,FALSE)</f>
        <v>141.7657819944846</v>
      </c>
      <c r="N69" s="520">
        <f>VLOOKUP($B69,'[12]Div 9 forecast'!$D$437:$AF$517,28,FALSE)</f>
        <v>148.65530581749036</v>
      </c>
      <c r="O69" s="520">
        <f>VLOOKUP($B69,'[12]Div 9 forecast'!$D$437:$AF$517,29,FALSE)</f>
        <v>149.39706111960228</v>
      </c>
      <c r="P69" s="107">
        <f t="shared" si="4"/>
        <v>1775.3449244682231</v>
      </c>
      <c r="Q69" s="1"/>
      <c r="R69" s="470"/>
      <c r="S69" s="1"/>
      <c r="Y69" s="933"/>
    </row>
    <row r="70" spans="1:25">
      <c r="A70" s="1113">
        <f t="shared" si="0"/>
        <v>59</v>
      </c>
      <c r="B70" s="468">
        <v>8711</v>
      </c>
      <c r="C70" s="119" t="s">
        <v>194</v>
      </c>
      <c r="D70" s="520">
        <f>VLOOKUP($B70,'[12]Div 9 forecast'!$D$437:$AF$517,18,FALSE)</f>
        <v>964.0722296294233</v>
      </c>
      <c r="E70" s="520">
        <f>VLOOKUP($B70,'[12]Div 9 forecast'!$D$437:$AF$517,19,FALSE)</f>
        <v>959.17136349513373</v>
      </c>
      <c r="F70" s="520">
        <f>VLOOKUP($B70,'[12]Div 9 forecast'!$D$437:$AF$517,20,FALSE)</f>
        <v>805.63383541723613</v>
      </c>
      <c r="G70" s="520">
        <f>VLOOKUP($B70,'[12]Div 9 forecast'!$D$437:$AF$517,21,FALSE)</f>
        <v>842.22430770086987</v>
      </c>
      <c r="H70" s="520">
        <f>VLOOKUP($B70,'[12]Div 9 forecast'!$D$437:$AF$517,22,FALSE)</f>
        <v>741.74361145870284</v>
      </c>
      <c r="I70" s="520">
        <f>VLOOKUP($B70,'[12]Div 9 forecast'!$D$437:$AF$517,23,FALSE)</f>
        <v>745.15439402452182</v>
      </c>
      <c r="J70" s="520">
        <f>VLOOKUP($B70,'[12]Div 9 forecast'!$D$437:$AF$517,24,FALSE)</f>
        <v>792.45931606185661</v>
      </c>
      <c r="K70" s="520">
        <f>VLOOKUP($B70,'[12]Div 9 forecast'!$D$437:$AF$517,25,FALSE)</f>
        <v>742.17037227376738</v>
      </c>
      <c r="L70" s="520">
        <f>VLOOKUP($B70,'[12]Div 9 forecast'!$D$437:$AF$517,26,FALSE)</f>
        <v>874.83791984721836</v>
      </c>
      <c r="M70" s="520">
        <f>VLOOKUP($B70,'[12]Div 9 forecast'!$D$437:$AF$517,27,FALSE)</f>
        <v>764.44453352455525</v>
      </c>
      <c r="N70" s="520">
        <f>VLOOKUP($B70,'[12]Div 9 forecast'!$D$437:$AF$517,28,FALSE)</f>
        <v>779.21541365783446</v>
      </c>
      <c r="O70" s="520">
        <f>VLOOKUP($B70,'[12]Div 9 forecast'!$D$437:$AF$517,29,FALSE)</f>
        <v>743.12025924923353</v>
      </c>
      <c r="P70" s="107">
        <f t="shared" si="4"/>
        <v>9754.2475563403532</v>
      </c>
      <c r="Q70" s="1"/>
      <c r="R70" s="470"/>
      <c r="S70" s="1"/>
      <c r="Y70" s="933"/>
    </row>
    <row r="71" spans="1:25">
      <c r="A71" s="1113">
        <f t="shared" si="0"/>
        <v>60</v>
      </c>
      <c r="B71" s="468">
        <v>8720</v>
      </c>
      <c r="C71" s="119" t="s">
        <v>1389</v>
      </c>
      <c r="D71" s="520">
        <f>VLOOKUP($B71,'[12]Div 9 forecast'!$D$437:$AF$517,18,FALSE)</f>
        <v>0</v>
      </c>
      <c r="E71" s="520">
        <f>VLOOKUP($B71,'[12]Div 9 forecast'!$D$437:$AF$517,19,FALSE)</f>
        <v>0</v>
      </c>
      <c r="F71" s="520">
        <f>VLOOKUP($B71,'[12]Div 9 forecast'!$D$437:$AF$517,20,FALSE)</f>
        <v>0</v>
      </c>
      <c r="G71" s="520">
        <f>VLOOKUP($B71,'[12]Div 9 forecast'!$D$437:$AF$517,21,FALSE)</f>
        <v>0</v>
      </c>
      <c r="H71" s="520">
        <f>VLOOKUP($B71,'[12]Div 9 forecast'!$D$437:$AF$517,22,FALSE)</f>
        <v>0</v>
      </c>
      <c r="I71" s="520">
        <f>VLOOKUP($B71,'[12]Div 9 forecast'!$D$437:$AF$517,23,FALSE)</f>
        <v>0</v>
      </c>
      <c r="J71" s="520">
        <f>VLOOKUP($B71,'[12]Div 9 forecast'!$D$437:$AF$517,24,FALSE)</f>
        <v>0</v>
      </c>
      <c r="K71" s="520">
        <f>VLOOKUP($B71,'[12]Div 9 forecast'!$D$437:$AF$517,25,FALSE)</f>
        <v>0</v>
      </c>
      <c r="L71" s="520">
        <f>VLOOKUP($B71,'[12]Div 9 forecast'!$D$437:$AF$517,26,FALSE)</f>
        <v>0</v>
      </c>
      <c r="M71" s="520">
        <f>VLOOKUP($B71,'[12]Div 9 forecast'!$D$437:$AF$517,27,FALSE)</f>
        <v>0</v>
      </c>
      <c r="N71" s="520">
        <f>VLOOKUP($B71,'[12]Div 9 forecast'!$D$437:$AF$517,28,FALSE)</f>
        <v>0</v>
      </c>
      <c r="O71" s="520">
        <f>VLOOKUP($B71,'[12]Div 9 forecast'!$D$437:$AF$517,29,FALSE)</f>
        <v>0</v>
      </c>
      <c r="P71" s="107">
        <f t="shared" si="4"/>
        <v>0</v>
      </c>
      <c r="Q71" s="1"/>
      <c r="R71" s="470"/>
      <c r="S71" s="1"/>
      <c r="Y71" s="933"/>
    </row>
    <row r="72" spans="1:25">
      <c r="A72" s="1113">
        <f t="shared" si="0"/>
        <v>61</v>
      </c>
      <c r="B72" s="468">
        <v>8740</v>
      </c>
      <c r="C72" s="1" t="s">
        <v>934</v>
      </c>
      <c r="D72" s="520">
        <f>VLOOKUP($B72,'[12]Div 9 forecast'!$D$437:$AF$517,18,FALSE)</f>
        <v>308018.05910213629</v>
      </c>
      <c r="E72" s="520">
        <f>VLOOKUP($B72,'[12]Div 9 forecast'!$D$437:$AF$517,19,FALSE)</f>
        <v>309349.52166981826</v>
      </c>
      <c r="F72" s="520">
        <f>VLOOKUP($B72,'[12]Div 9 forecast'!$D$437:$AF$517,20,FALSE)</f>
        <v>309025.13052715425</v>
      </c>
      <c r="G72" s="520">
        <f>VLOOKUP($B72,'[12]Div 9 forecast'!$D$437:$AF$517,21,FALSE)</f>
        <v>306303.50711802038</v>
      </c>
      <c r="H72" s="520">
        <f>VLOOKUP($B72,'[12]Div 9 forecast'!$D$437:$AF$517,22,FALSE)</f>
        <v>305314.99493918766</v>
      </c>
      <c r="I72" s="520">
        <f>VLOOKUP($B72,'[12]Div 9 forecast'!$D$437:$AF$517,23,FALSE)</f>
        <v>294529.16281658958</v>
      </c>
      <c r="J72" s="520">
        <f>VLOOKUP($B72,'[12]Div 9 forecast'!$D$437:$AF$517,24,FALSE)</f>
        <v>306720.38536952244</v>
      </c>
      <c r="K72" s="520">
        <f>VLOOKUP($B72,'[12]Div 9 forecast'!$D$437:$AF$517,25,FALSE)</f>
        <v>293960.44802119985</v>
      </c>
      <c r="L72" s="520">
        <f>VLOOKUP($B72,'[12]Div 9 forecast'!$D$437:$AF$517,26,FALSE)</f>
        <v>295605.57302313967</v>
      </c>
      <c r="M72" s="520">
        <f>VLOOKUP($B72,'[12]Div 9 forecast'!$D$437:$AF$517,27,FALSE)</f>
        <v>309842.08439534419</v>
      </c>
      <c r="N72" s="520">
        <f>VLOOKUP($B72,'[12]Div 9 forecast'!$D$437:$AF$517,28,FALSE)</f>
        <v>312463.30240666674</v>
      </c>
      <c r="O72" s="520">
        <f>VLOOKUP($B72,'[12]Div 9 forecast'!$D$437:$AF$517,29,FALSE)</f>
        <v>302217.39838210109</v>
      </c>
      <c r="P72" s="107">
        <f t="shared" si="4"/>
        <v>3653349.5677708811</v>
      </c>
      <c r="Q72" s="1"/>
      <c r="R72" s="470"/>
      <c r="S72" s="1"/>
      <c r="Y72" s="933"/>
    </row>
    <row r="73" spans="1:25">
      <c r="A73" s="1113">
        <f t="shared" si="0"/>
        <v>62</v>
      </c>
      <c r="B73" s="468">
        <v>8750</v>
      </c>
      <c r="C73" s="1" t="s">
        <v>935</v>
      </c>
      <c r="D73" s="520">
        <f>VLOOKUP($B73,'[12]Div 9 forecast'!$D$437:$AF$517,18,FALSE)</f>
        <v>33014.032368981476</v>
      </c>
      <c r="E73" s="520">
        <f>VLOOKUP($B73,'[12]Div 9 forecast'!$D$437:$AF$517,19,FALSE)</f>
        <v>31900.934339507297</v>
      </c>
      <c r="F73" s="520">
        <f>VLOOKUP($B73,'[12]Div 9 forecast'!$D$437:$AF$517,20,FALSE)</f>
        <v>33472.943046264161</v>
      </c>
      <c r="G73" s="520">
        <f>VLOOKUP($B73,'[12]Div 9 forecast'!$D$437:$AF$517,21,FALSE)</f>
        <v>32589.793269783873</v>
      </c>
      <c r="H73" s="520">
        <f>VLOOKUP($B73,'[12]Div 9 forecast'!$D$437:$AF$517,22,FALSE)</f>
        <v>33019.537907893857</v>
      </c>
      <c r="I73" s="520">
        <f>VLOOKUP($B73,'[12]Div 9 forecast'!$D$437:$AF$517,23,FALSE)</f>
        <v>31825.520870907534</v>
      </c>
      <c r="J73" s="520">
        <f>VLOOKUP($B73,'[12]Div 9 forecast'!$D$437:$AF$517,24,FALSE)</f>
        <v>34352.644543968185</v>
      </c>
      <c r="K73" s="520">
        <f>VLOOKUP($B73,'[12]Div 9 forecast'!$D$437:$AF$517,25,FALSE)</f>
        <v>31830.355185540102</v>
      </c>
      <c r="L73" s="520">
        <f>VLOOKUP($B73,'[12]Div 9 forecast'!$D$437:$AF$517,26,FALSE)</f>
        <v>32354.502365408764</v>
      </c>
      <c r="M73" s="520">
        <f>VLOOKUP($B73,'[12]Div 9 forecast'!$D$437:$AF$517,27,FALSE)</f>
        <v>34189.505029661013</v>
      </c>
      <c r="N73" s="520">
        <f>VLOOKUP($B73,'[12]Div 9 forecast'!$D$437:$AF$517,28,FALSE)</f>
        <v>32038.526338395895</v>
      </c>
      <c r="O73" s="520">
        <f>VLOOKUP($B73,'[12]Div 9 forecast'!$D$437:$AF$517,29,FALSE)</f>
        <v>33000.075930596686</v>
      </c>
      <c r="P73" s="107">
        <f t="shared" si="4"/>
        <v>393588.37119690882</v>
      </c>
      <c r="Q73" s="1"/>
      <c r="R73" s="470"/>
      <c r="S73" s="1"/>
      <c r="Y73" s="933"/>
    </row>
    <row r="74" spans="1:25">
      <c r="A74" s="1113">
        <f t="shared" si="0"/>
        <v>63</v>
      </c>
      <c r="B74" s="468">
        <v>8760</v>
      </c>
      <c r="C74" s="1" t="s">
        <v>936</v>
      </c>
      <c r="D74" s="520">
        <f>VLOOKUP($B74,'[12]Div 9 forecast'!$D$437:$AF$517,18,FALSE)</f>
        <v>2837.7132432098706</v>
      </c>
      <c r="E74" s="520">
        <f>VLOOKUP($B74,'[12]Div 9 forecast'!$D$437:$AF$517,19,FALSE)</f>
        <v>2761.5889820994785</v>
      </c>
      <c r="F74" s="520">
        <f>VLOOKUP($B74,'[12]Div 9 forecast'!$D$437:$AF$517,20,FALSE)</f>
        <v>2752.8021136928023</v>
      </c>
      <c r="G74" s="520">
        <f>VLOOKUP($B74,'[12]Div 9 forecast'!$D$437:$AF$517,21,FALSE)</f>
        <v>2717.5770529366382</v>
      </c>
      <c r="H74" s="520">
        <f>VLOOKUP($B74,'[12]Div 9 forecast'!$D$437:$AF$517,22,FALSE)</f>
        <v>2669.5555582943371</v>
      </c>
      <c r="I74" s="520">
        <f>VLOOKUP($B74,'[12]Div 9 forecast'!$D$437:$AF$517,23,FALSE)</f>
        <v>2599.4869360103153</v>
      </c>
      <c r="J74" s="520">
        <f>VLOOKUP($B74,'[12]Div 9 forecast'!$D$437:$AF$517,24,FALSE)</f>
        <v>2792.9872237687023</v>
      </c>
      <c r="K74" s="520">
        <f>VLOOKUP($B74,'[12]Div 9 forecast'!$D$437:$AF$517,25,FALSE)</f>
        <v>2596.5450033282746</v>
      </c>
      <c r="L74" s="520">
        <f>VLOOKUP($B74,'[12]Div 9 forecast'!$D$437:$AF$517,26,FALSE)</f>
        <v>2727.3412999550642</v>
      </c>
      <c r="M74" s="520">
        <f>VLOOKUP($B74,'[12]Div 9 forecast'!$D$437:$AF$517,27,FALSE)</f>
        <v>2769.2069404231106</v>
      </c>
      <c r="N74" s="520">
        <f>VLOOKUP($B74,'[12]Div 9 forecast'!$D$437:$AF$517,28,FALSE)</f>
        <v>2636.9068872553139</v>
      </c>
      <c r="O74" s="520">
        <f>VLOOKUP($B74,'[12]Div 9 forecast'!$D$437:$AF$517,29,FALSE)</f>
        <v>2674.751568774077</v>
      </c>
      <c r="P74" s="107">
        <f t="shared" si="4"/>
        <v>32536.462809747987</v>
      </c>
      <c r="Q74" s="1"/>
      <c r="R74" s="470"/>
      <c r="S74" s="1"/>
      <c r="Y74" s="933"/>
    </row>
    <row r="75" spans="1:25">
      <c r="A75" s="1113">
        <f t="shared" si="0"/>
        <v>64</v>
      </c>
      <c r="B75" s="468">
        <v>8770</v>
      </c>
      <c r="C75" s="1" t="s">
        <v>937</v>
      </c>
      <c r="D75" s="520">
        <f>VLOOKUP($B75,'[12]Div 9 forecast'!$D$437:$AF$517,18,FALSE)</f>
        <v>10915.165756491086</v>
      </c>
      <c r="E75" s="520">
        <f>VLOOKUP($B75,'[12]Div 9 forecast'!$D$437:$AF$517,19,FALSE)</f>
        <v>10822.220824449538</v>
      </c>
      <c r="F75" s="520">
        <f>VLOOKUP($B75,'[12]Div 9 forecast'!$D$437:$AF$517,20,FALSE)</f>
        <v>9535.3790865070205</v>
      </c>
      <c r="G75" s="520">
        <f>VLOOKUP($B75,'[12]Div 9 forecast'!$D$437:$AF$517,21,FALSE)</f>
        <v>9853.198374256217</v>
      </c>
      <c r="H75" s="520">
        <f>VLOOKUP($B75,'[12]Div 9 forecast'!$D$437:$AF$517,22,FALSE)</f>
        <v>8954.3803427323528</v>
      </c>
      <c r="I75" s="520">
        <f>VLOOKUP($B75,'[12]Div 9 forecast'!$D$437:$AF$517,23,FALSE)</f>
        <v>8926.3198619267951</v>
      </c>
      <c r="J75" s="520">
        <f>VLOOKUP($B75,'[12]Div 9 forecast'!$D$437:$AF$517,24,FALSE)</f>
        <v>9478.6244843135373</v>
      </c>
      <c r="K75" s="520">
        <f>VLOOKUP($B75,'[12]Div 9 forecast'!$D$437:$AF$517,25,FALSE)</f>
        <v>8914.8451446611161</v>
      </c>
      <c r="L75" s="520">
        <f>VLOOKUP($B75,'[12]Div 9 forecast'!$D$437:$AF$517,26,FALSE)</f>
        <v>10112.679537847273</v>
      </c>
      <c r="M75" s="520">
        <f>VLOOKUP($B75,'[12]Div 9 forecast'!$D$437:$AF$517,27,FALSE)</f>
        <v>9217.0280774386938</v>
      </c>
      <c r="N75" s="520">
        <f>VLOOKUP($B75,'[12]Div 9 forecast'!$D$437:$AF$517,28,FALSE)</f>
        <v>9267.3884536465703</v>
      </c>
      <c r="O75" s="520">
        <f>VLOOKUP($B75,'[12]Div 9 forecast'!$D$437:$AF$517,29,FALSE)</f>
        <v>8998.329370149424</v>
      </c>
      <c r="P75" s="107">
        <f t="shared" si="4"/>
        <v>114995.55931441962</v>
      </c>
      <c r="Q75" s="1"/>
      <c r="R75" s="470"/>
      <c r="S75" s="1"/>
      <c r="Y75" s="933"/>
    </row>
    <row r="76" spans="1:25">
      <c r="A76" s="1113">
        <f t="shared" si="0"/>
        <v>65</v>
      </c>
      <c r="B76" s="468">
        <v>8780</v>
      </c>
      <c r="C76" s="1" t="s">
        <v>938</v>
      </c>
      <c r="D76" s="520">
        <f>VLOOKUP($B76,'[12]Div 9 forecast'!$D$437:$AF$517,18,FALSE)</f>
        <v>73279.531674686557</v>
      </c>
      <c r="E76" s="520">
        <f>VLOOKUP($B76,'[12]Div 9 forecast'!$D$437:$AF$517,19,FALSE)</f>
        <v>70556.308738308391</v>
      </c>
      <c r="F76" s="520">
        <f>VLOOKUP($B76,'[12]Div 9 forecast'!$D$437:$AF$517,20,FALSE)</f>
        <v>75353.3780456979</v>
      </c>
      <c r="G76" s="520">
        <f>VLOOKUP($B76,'[12]Div 9 forecast'!$D$437:$AF$517,21,FALSE)</f>
        <v>72950.144818847926</v>
      </c>
      <c r="H76" s="520">
        <f>VLOOKUP($B76,'[12]Div 9 forecast'!$D$437:$AF$517,22,FALSE)</f>
        <v>75233.23642224753</v>
      </c>
      <c r="I76" s="520">
        <f>VLOOKUP($B76,'[12]Div 9 forecast'!$D$437:$AF$517,23,FALSE)</f>
        <v>71770.847524275989</v>
      </c>
      <c r="J76" s="520">
        <f>VLOOKUP($B76,'[12]Div 9 forecast'!$D$437:$AF$517,24,FALSE)</f>
        <v>77740.347639555461</v>
      </c>
      <c r="K76" s="520">
        <f>VLOOKUP($B76,'[12]Div 9 forecast'!$D$437:$AF$517,25,FALSE)</f>
        <v>71706.800601640382</v>
      </c>
      <c r="L76" s="520">
        <f>VLOOKUP($B76,'[12]Div 9 forecast'!$D$437:$AF$517,26,FALSE)</f>
        <v>72097.261848086273</v>
      </c>
      <c r="M76" s="520">
        <f>VLOOKUP($B76,'[12]Div 9 forecast'!$D$437:$AF$517,27,FALSE)</f>
        <v>77478.310659860741</v>
      </c>
      <c r="N76" s="520">
        <f>VLOOKUP($B76,'[12]Div 9 forecast'!$D$437:$AF$517,28,FALSE)</f>
        <v>72133.517856658989</v>
      </c>
      <c r="O76" s="520">
        <f>VLOOKUP($B76,'[12]Div 9 forecast'!$D$437:$AF$517,29,FALSE)</f>
        <v>74600.30809071679</v>
      </c>
      <c r="P76" s="107">
        <f t="shared" si="4"/>
        <v>884899.99392058305</v>
      </c>
      <c r="Q76" s="1"/>
      <c r="R76" s="470"/>
      <c r="S76" s="1"/>
      <c r="Y76" s="933"/>
    </row>
    <row r="77" spans="1:25">
      <c r="A77" s="1113">
        <f t="shared" si="0"/>
        <v>66</v>
      </c>
      <c r="B77" s="468">
        <v>8790</v>
      </c>
      <c r="C77" s="1" t="s">
        <v>939</v>
      </c>
      <c r="D77" s="520">
        <f>VLOOKUP($B77,'[12]Div 9 forecast'!$D$437:$AF$517,18,FALSE)</f>
        <v>68.091758506277671</v>
      </c>
      <c r="E77" s="520">
        <f>VLOOKUP($B77,'[12]Div 9 forecast'!$D$437:$AF$517,19,FALSE)</f>
        <v>67.745613701945004</v>
      </c>
      <c r="F77" s="520">
        <f>VLOOKUP($B77,'[12]Div 9 forecast'!$D$437:$AF$517,20,FALSE)</f>
        <v>56.901363694298112</v>
      </c>
      <c r="G77" s="520">
        <f>VLOOKUP($B77,'[12]Div 9 forecast'!$D$437:$AF$517,21,FALSE)</f>
        <v>59.485723585387952</v>
      </c>
      <c r="H77" s="520">
        <f>VLOOKUP($B77,'[12]Div 9 forecast'!$D$437:$AF$517,22,FALSE)</f>
        <v>52.388841118714033</v>
      </c>
      <c r="I77" s="520">
        <f>VLOOKUP($B77,'[12]Div 9 forecast'!$D$437:$AF$517,23,FALSE)</f>
        <v>52.629742345459711</v>
      </c>
      <c r="J77" s="520">
        <f>VLOOKUP($B77,'[12]Div 9 forecast'!$D$437:$AF$517,24,FALSE)</f>
        <v>55.970856453437534</v>
      </c>
      <c r="K77" s="520">
        <f>VLOOKUP($B77,'[12]Div 9 forecast'!$D$437:$AF$517,25,FALSE)</f>
        <v>52.418982941563229</v>
      </c>
      <c r="L77" s="520">
        <f>VLOOKUP($B77,'[12]Div 9 forecast'!$D$437:$AF$517,26,FALSE)</f>
        <v>61.789200580197956</v>
      </c>
      <c r="M77" s="520">
        <f>VLOOKUP($B77,'[12]Div 9 forecast'!$D$437:$AF$517,27,FALSE)</f>
        <v>53.992191630917901</v>
      </c>
      <c r="N77" s="520">
        <f>VLOOKUP($B77,'[12]Div 9 forecast'!$D$437:$AF$517,28,FALSE)</f>
        <v>55.035448735571798</v>
      </c>
      <c r="O77" s="520">
        <f>VLOOKUP($B77,'[12]Div 9 forecast'!$D$437:$AF$517,29,FALSE)</f>
        <v>52.486072805324334</v>
      </c>
      <c r="P77" s="107">
        <f t="shared" si="4"/>
        <v>688.93579609909511</v>
      </c>
      <c r="Q77" s="1"/>
      <c r="R77" s="470"/>
      <c r="S77" s="1"/>
      <c r="Y77" s="933"/>
    </row>
    <row r="78" spans="1:25">
      <c r="A78" s="1113">
        <f t="shared" ref="A78:A109" si="5">A77+1</f>
        <v>67</v>
      </c>
      <c r="B78" s="468">
        <v>8800</v>
      </c>
      <c r="C78" s="1" t="s">
        <v>940</v>
      </c>
      <c r="D78" s="520">
        <f>VLOOKUP($B78,'[12]Div 9 forecast'!$D$437:$AF$517,18,FALSE)</f>
        <v>17178.745988064562</v>
      </c>
      <c r="E78" s="520">
        <f>VLOOKUP($B78,'[12]Div 9 forecast'!$D$437:$AF$517,19,FALSE)</f>
        <v>16512.131358352384</v>
      </c>
      <c r="F78" s="520">
        <f>VLOOKUP($B78,'[12]Div 9 forecast'!$D$437:$AF$517,20,FALSE)</f>
        <v>17737.173145420569</v>
      </c>
      <c r="G78" s="520">
        <f>VLOOKUP($B78,'[12]Div 9 forecast'!$D$437:$AF$517,21,FALSE)</f>
        <v>17104.645054846565</v>
      </c>
      <c r="H78" s="520">
        <f>VLOOKUP($B78,'[12]Div 9 forecast'!$D$437:$AF$517,22,FALSE)</f>
        <v>17569.690571302483</v>
      </c>
      <c r="I78" s="520">
        <f>VLOOKUP($B78,'[12]Div 9 forecast'!$D$437:$AF$517,23,FALSE)</f>
        <v>16864.474734123374</v>
      </c>
      <c r="J78" s="520">
        <f>VLOOKUP($B78,'[12]Div 9 forecast'!$D$437:$AF$517,24,FALSE)</f>
        <v>18269.06663952698</v>
      </c>
      <c r="K78" s="520">
        <f>VLOOKUP($B78,'[12]Div 9 forecast'!$D$437:$AF$517,25,FALSE)</f>
        <v>16857.120752179449</v>
      </c>
      <c r="L78" s="520">
        <f>VLOOKUP($B78,'[12]Div 9 forecast'!$D$437:$AF$517,26,FALSE)</f>
        <v>16932.401864399835</v>
      </c>
      <c r="M78" s="520">
        <f>VLOOKUP($B78,'[12]Div 9 forecast'!$D$437:$AF$517,27,FALSE)</f>
        <v>18232.320948437318</v>
      </c>
      <c r="N78" s="520">
        <f>VLOOKUP($B78,'[12]Div 9 forecast'!$D$437:$AF$517,28,FALSE)</f>
        <v>16884.146566919429</v>
      </c>
      <c r="O78" s="520">
        <f>VLOOKUP($B78,'[12]Div 9 forecast'!$D$437:$AF$517,29,FALSE)</f>
        <v>17536.470390078252</v>
      </c>
      <c r="P78" s="107">
        <f t="shared" si="4"/>
        <v>207678.38801365125</v>
      </c>
      <c r="Q78" s="1"/>
      <c r="R78" s="1"/>
      <c r="S78" s="1"/>
      <c r="Y78" s="933"/>
    </row>
    <row r="79" spans="1:25">
      <c r="A79" s="1113">
        <f t="shared" si="5"/>
        <v>68</v>
      </c>
      <c r="B79" s="468">
        <v>8810</v>
      </c>
      <c r="C79" s="1" t="s">
        <v>941</v>
      </c>
      <c r="D79" s="520">
        <f>VLOOKUP($B79,'[12]Div 9 forecast'!$D$437:$AF$517,18,FALSE)</f>
        <v>33472.002826567405</v>
      </c>
      <c r="E79" s="520">
        <f>VLOOKUP($B79,'[12]Div 9 forecast'!$D$437:$AF$517,19,FALSE)</f>
        <v>33477.248996883958</v>
      </c>
      <c r="F79" s="520">
        <f>VLOOKUP($B79,'[12]Div 9 forecast'!$D$437:$AF$517,20,FALSE)</f>
        <v>32290.195922214982</v>
      </c>
      <c r="G79" s="520">
        <f>VLOOKUP($B79,'[12]Div 9 forecast'!$D$437:$AF$517,21,FALSE)</f>
        <v>35342.686576204251</v>
      </c>
      <c r="H79" s="520">
        <f>VLOOKUP($B79,'[12]Div 9 forecast'!$D$437:$AF$517,22,FALSE)</f>
        <v>33307.809598304302</v>
      </c>
      <c r="I79" s="520">
        <f>VLOOKUP($B79,'[12]Div 9 forecast'!$D$437:$AF$517,23,FALSE)</f>
        <v>32730.57384238685</v>
      </c>
      <c r="J79" s="520">
        <f>VLOOKUP($B79,'[12]Div 9 forecast'!$D$437:$AF$517,24,FALSE)</f>
        <v>34885.831034904106</v>
      </c>
      <c r="K79" s="520">
        <f>VLOOKUP($B79,'[12]Div 9 forecast'!$D$437:$AF$517,25,FALSE)</f>
        <v>33864.602026288732</v>
      </c>
      <c r="L79" s="520">
        <f>VLOOKUP($B79,'[12]Div 9 forecast'!$D$437:$AF$517,26,FALSE)</f>
        <v>34943.875593847806</v>
      </c>
      <c r="M79" s="520">
        <f>VLOOKUP($B79,'[12]Div 9 forecast'!$D$437:$AF$517,27,FALSE)</f>
        <v>32390.963267124131</v>
      </c>
      <c r="N79" s="520">
        <f>VLOOKUP($B79,'[12]Div 9 forecast'!$D$437:$AF$517,28,FALSE)</f>
        <v>33900.323463950837</v>
      </c>
      <c r="O79" s="520">
        <f>VLOOKUP($B79,'[12]Div 9 forecast'!$D$437:$AF$517,29,FALSE)</f>
        <v>34060.824948248104</v>
      </c>
      <c r="P79" s="107">
        <f t="shared" si="4"/>
        <v>404666.9380969255</v>
      </c>
      <c r="Q79" s="1"/>
      <c r="R79" s="1"/>
      <c r="S79" s="1"/>
      <c r="Y79" s="933"/>
    </row>
    <row r="80" spans="1:25">
      <c r="A80" s="1113">
        <f t="shared" si="5"/>
        <v>69</v>
      </c>
      <c r="B80" s="468">
        <v>8850</v>
      </c>
      <c r="C80" s="1" t="s">
        <v>942</v>
      </c>
      <c r="D80" s="520">
        <f>VLOOKUP($B80,'[12]Div 9 forecast'!$D$437:$AF$517,18,FALSE)</f>
        <v>198.74278419921419</v>
      </c>
      <c r="E80" s="520">
        <f>VLOOKUP($B80,'[12]Div 9 forecast'!$D$437:$AF$517,19,FALSE)</f>
        <v>179.23907623069462</v>
      </c>
      <c r="F80" s="520">
        <f>VLOOKUP($B80,'[12]Div 9 forecast'!$D$437:$AF$517,20,FALSE)</f>
        <v>179.23907623069462</v>
      </c>
      <c r="G80" s="520">
        <f>VLOOKUP($B80,'[12]Div 9 forecast'!$D$437:$AF$517,21,FALSE)</f>
        <v>200.01052521716795</v>
      </c>
      <c r="H80" s="520">
        <f>VLOOKUP($B80,'[12]Div 9 forecast'!$D$437:$AF$517,22,FALSE)</f>
        <v>169.48722224643484</v>
      </c>
      <c r="I80" s="520">
        <f>VLOOKUP($B80,'[12]Div 9 forecast'!$D$437:$AF$517,23,FALSE)</f>
        <v>183.52989198376892</v>
      </c>
      <c r="J80" s="520">
        <f>VLOOKUP($B80,'[12]Div 9 forecast'!$D$437:$AF$517,24,FALSE)</f>
        <v>188.9909302149544</v>
      </c>
      <c r="K80" s="520">
        <f>VLOOKUP($B80,'[12]Div 9 forecast'!$D$437:$AF$517,25,FALSE)</f>
        <v>169.48722224643484</v>
      </c>
      <c r="L80" s="520">
        <f>VLOOKUP($B80,'[12]Div 9 forecast'!$D$437:$AF$517,26,FALSE)</f>
        <v>169.48722224643484</v>
      </c>
      <c r="M80" s="520">
        <f>VLOOKUP($B80,'[12]Div 9 forecast'!$D$437:$AF$517,27,FALSE)</f>
        <v>188.9909302149544</v>
      </c>
      <c r="N80" s="520">
        <f>VLOOKUP($B80,'[12]Div 9 forecast'!$D$437:$AF$517,28,FALSE)</f>
        <v>193.2817459680287</v>
      </c>
      <c r="O80" s="520">
        <f>VLOOKUP($B80,'[12]Div 9 forecast'!$D$437:$AF$517,29,FALSE)</f>
        <v>179.23907623069462</v>
      </c>
      <c r="P80" s="107">
        <f t="shared" si="4"/>
        <v>2199.7257032294769</v>
      </c>
      <c r="Q80" s="1"/>
      <c r="R80" s="1"/>
      <c r="S80" s="1"/>
      <c r="Y80" s="933"/>
    </row>
    <row r="81" spans="1:25">
      <c r="A81" s="1113">
        <f t="shared" si="5"/>
        <v>70</v>
      </c>
      <c r="B81" s="468">
        <v>8860</v>
      </c>
      <c r="C81" s="1" t="s">
        <v>943</v>
      </c>
      <c r="D81" s="520">
        <f>VLOOKUP($B81,'[12]Div 9 forecast'!$D$437:$AF$517,18,FALSE)</f>
        <v>1755.0961194147731</v>
      </c>
      <c r="E81" s="520">
        <f>VLOOKUP($B81,'[12]Div 9 forecast'!$D$437:$AF$517,19,FALSE)</f>
        <v>1755.396856844151</v>
      </c>
      <c r="F81" s="520">
        <f>VLOOKUP($B81,'[12]Div 9 forecast'!$D$437:$AF$517,20,FALSE)</f>
        <v>1691.0014547785684</v>
      </c>
      <c r="G81" s="520">
        <f>VLOOKUP($B81,'[12]Div 9 forecast'!$D$437:$AF$517,21,FALSE)</f>
        <v>1857.6340496483786</v>
      </c>
      <c r="H81" s="520">
        <f>VLOOKUP($B81,'[12]Div 9 forecast'!$D$437:$AF$517,22,FALSE)</f>
        <v>1748.1039741817324</v>
      </c>
      <c r="I81" s="520">
        <f>VLOOKUP($B81,'[12]Div 9 forecast'!$D$437:$AF$517,23,FALSE)</f>
        <v>1716.5641362757058</v>
      </c>
      <c r="J81" s="520">
        <f>VLOOKUP($B81,'[12]Div 9 forecast'!$D$437:$AF$517,24,FALSE)</f>
        <v>1834.1524711625373</v>
      </c>
      <c r="K81" s="520">
        <f>VLOOKUP($B81,'[12]Div 9 forecast'!$D$437:$AF$517,25,FALSE)</f>
        <v>1778.5160467275914</v>
      </c>
      <c r="L81" s="520">
        <f>VLOOKUP($B81,'[12]Div 9 forecast'!$D$437:$AF$517,26,FALSE)</f>
        <v>1837.0846610989736</v>
      </c>
      <c r="M81" s="520">
        <f>VLOOKUP($B81,'[12]Div 9 forecast'!$D$437:$AF$517,27,FALSE)</f>
        <v>1695.5877005765842</v>
      </c>
      <c r="N81" s="520">
        <f>VLOOKUP($B81,'[12]Div 9 forecast'!$D$437:$AF$517,28,FALSE)</f>
        <v>1777.9897562261797</v>
      </c>
      <c r="O81" s="520">
        <f>VLOOKUP($B81,'[12]Div 9 forecast'!$D$437:$AF$517,29,FALSE)</f>
        <v>1786.8615103928332</v>
      </c>
      <c r="P81" s="107">
        <f t="shared" si="4"/>
        <v>21233.988737328007</v>
      </c>
      <c r="Q81" s="1"/>
      <c r="R81" s="1"/>
      <c r="S81" s="1"/>
      <c r="Y81" s="933"/>
    </row>
    <row r="82" spans="1:25">
      <c r="A82" s="1113">
        <f t="shared" si="5"/>
        <v>71</v>
      </c>
      <c r="B82" s="468">
        <v>8870</v>
      </c>
      <c r="C82" s="1" t="s">
        <v>944</v>
      </c>
      <c r="D82" s="520">
        <f>VLOOKUP($B82,'[12]Div 9 forecast'!$D$437:$AF$517,18,FALSE)</f>
        <v>3540.2843888797988</v>
      </c>
      <c r="E82" s="520">
        <f>VLOOKUP($B82,'[12]Div 9 forecast'!$D$437:$AF$517,19,FALSE)</f>
        <v>3428.7484266563856</v>
      </c>
      <c r="F82" s="520">
        <f>VLOOKUP($B82,'[12]Div 9 forecast'!$D$437:$AF$517,20,FALSE)</f>
        <v>3620.1861432949181</v>
      </c>
      <c r="G82" s="520">
        <f>VLOOKUP($B82,'[12]Div 9 forecast'!$D$437:$AF$517,21,FALSE)</f>
        <v>3517.2063449657667</v>
      </c>
      <c r="H82" s="520">
        <f>VLOOKUP($B82,'[12]Div 9 forecast'!$D$437:$AF$517,22,FALSE)</f>
        <v>3569.5221233963616</v>
      </c>
      <c r="I82" s="520">
        <f>VLOOKUP($B82,'[12]Div 9 forecast'!$D$437:$AF$517,23,FALSE)</f>
        <v>3456.2782890189078</v>
      </c>
      <c r="J82" s="520">
        <f>VLOOKUP($B82,'[12]Div 9 forecast'!$D$437:$AF$517,24,FALSE)</f>
        <v>3693.2487317217597</v>
      </c>
      <c r="K82" s="520">
        <f>VLOOKUP($B82,'[12]Div 9 forecast'!$D$437:$AF$517,25,FALSE)</f>
        <v>3455.7003681689689</v>
      </c>
      <c r="L82" s="520">
        <f>VLOOKUP($B82,'[12]Div 9 forecast'!$D$437:$AF$517,26,FALSE)</f>
        <v>3481.3943302969533</v>
      </c>
      <c r="M82" s="520">
        <f>VLOOKUP($B82,'[12]Div 9 forecast'!$D$437:$AF$517,27,FALSE)</f>
        <v>3705.9880112031228</v>
      </c>
      <c r="N82" s="520">
        <f>VLOOKUP($B82,'[12]Div 9 forecast'!$D$437:$AF$517,28,FALSE)</f>
        <v>3481.0399005566683</v>
      </c>
      <c r="O82" s="520">
        <f>VLOOKUP($B82,'[12]Div 9 forecast'!$D$437:$AF$517,29,FALSE)</f>
        <v>3587.9509693515965</v>
      </c>
      <c r="P82" s="107">
        <f t="shared" si="4"/>
        <v>42537.548027511199</v>
      </c>
      <c r="Q82" s="1"/>
      <c r="R82" s="209"/>
      <c r="S82" s="1"/>
      <c r="Y82" s="933"/>
    </row>
    <row r="83" spans="1:25">
      <c r="A83" s="1113">
        <f t="shared" si="5"/>
        <v>72</v>
      </c>
      <c r="B83" s="468">
        <v>8890</v>
      </c>
      <c r="C83" s="471" t="s">
        <v>945</v>
      </c>
      <c r="D83" s="520">
        <f>VLOOKUP($B83,'[12]Div 9 forecast'!$D$437:$AF$517,18,FALSE)</f>
        <v>606.38353898317234</v>
      </c>
      <c r="E83" s="520">
        <f>VLOOKUP($B83,'[12]Div 9 forecast'!$D$437:$AF$517,19,FALSE)</f>
        <v>603.30098514616827</v>
      </c>
      <c r="F83" s="520">
        <f>VLOOKUP($B83,'[12]Div 9 forecast'!$D$437:$AF$517,20,FALSE)</f>
        <v>506.72872968519397</v>
      </c>
      <c r="G83" s="520">
        <f>VLOOKUP($B83,'[12]Div 9 forecast'!$D$437:$AF$517,21,FALSE)</f>
        <v>529.74345762206679</v>
      </c>
      <c r="H83" s="520">
        <f>VLOOKUP($B83,'[12]Div 9 forecast'!$D$437:$AF$517,22,FALSE)</f>
        <v>466.54296463593533</v>
      </c>
      <c r="I83" s="520">
        <f>VLOOKUP($B83,'[12]Div 9 forecast'!$D$437:$AF$517,23,FALSE)</f>
        <v>468.68828356474467</v>
      </c>
      <c r="J83" s="520">
        <f>VLOOKUP($B83,'[12]Div 9 forecast'!$D$437:$AF$517,24,FALSE)</f>
        <v>498.44220153347226</v>
      </c>
      <c r="K83" s="520">
        <f>VLOOKUP($B83,'[12]Div 9 forecast'!$D$437:$AF$517,25,FALSE)</f>
        <v>466.81138926780932</v>
      </c>
      <c r="L83" s="520">
        <f>VLOOKUP($B83,'[12]Div 9 forecast'!$D$437:$AF$517,26,FALSE)</f>
        <v>550.25681434423802</v>
      </c>
      <c r="M83" s="520">
        <f>VLOOKUP($B83,'[12]Div 9 forecast'!$D$437:$AF$517,27,FALSE)</f>
        <v>480.82142327981114</v>
      </c>
      <c r="N83" s="520">
        <f>VLOOKUP($B83,'[12]Div 9 forecast'!$D$437:$AF$517,28,FALSE)</f>
        <v>490.11203273192336</v>
      </c>
      <c r="O83" s="520">
        <f>VLOOKUP($B83,'[12]Div 9 forecast'!$D$437:$AF$517,29,FALSE)</f>
        <v>467.40885054520618</v>
      </c>
      <c r="P83" s="107">
        <f t="shared" si="4"/>
        <v>6135.2406713397404</v>
      </c>
      <c r="Q83" s="1"/>
      <c r="R83" s="1"/>
      <c r="S83" s="1"/>
      <c r="Y83" s="933"/>
    </row>
    <row r="84" spans="1:25">
      <c r="A84" s="1113">
        <f t="shared" si="5"/>
        <v>73</v>
      </c>
      <c r="B84" s="468">
        <v>8900</v>
      </c>
      <c r="C84" s="1" t="s">
        <v>946</v>
      </c>
      <c r="D84" s="520">
        <f>VLOOKUP($B84,'[12]Div 9 forecast'!$D$437:$AF$517,18,FALSE)</f>
        <v>961.93016901129215</v>
      </c>
      <c r="E84" s="520">
        <f>VLOOKUP($B84,'[12]Div 9 forecast'!$D$437:$AF$517,19,FALSE)</f>
        <v>957.04019205316422</v>
      </c>
      <c r="F84" s="520">
        <f>VLOOKUP($B84,'[12]Div 9 forecast'!$D$437:$AF$517,20,FALSE)</f>
        <v>803.84380718237605</v>
      </c>
      <c r="G84" s="520">
        <f>VLOOKUP($B84,'[12]Div 9 forecast'!$D$437:$AF$517,21,FALSE)</f>
        <v>840.35297953093368</v>
      </c>
      <c r="H84" s="520">
        <f>VLOOKUP($B84,'[12]Div 9 forecast'!$D$437:$AF$517,22,FALSE)</f>
        <v>740.09554015239951</v>
      </c>
      <c r="I84" s="520">
        <f>VLOOKUP($B84,'[12]Div 9 forecast'!$D$437:$AF$517,23,FALSE)</f>
        <v>743.49874434101116</v>
      </c>
      <c r="J84" s="520">
        <f>VLOOKUP($B84,'[12]Div 9 forecast'!$D$437:$AF$517,24,FALSE)</f>
        <v>790.69856013482433</v>
      </c>
      <c r="K84" s="520">
        <f>VLOOKUP($B84,'[12]Div 9 forecast'!$D$437:$AF$517,25,FALSE)</f>
        <v>740.52135275268597</v>
      </c>
      <c r="L84" s="520">
        <f>VLOOKUP($B84,'[12]Div 9 forecast'!$D$437:$AF$517,26,FALSE)</f>
        <v>872.89412788043512</v>
      </c>
      <c r="M84" s="520">
        <f>VLOOKUP($B84,'[12]Div 9 forecast'!$D$437:$AF$517,27,FALSE)</f>
        <v>762.74602330957066</v>
      </c>
      <c r="N84" s="520">
        <f>VLOOKUP($B84,'[12]Div 9 forecast'!$D$437:$AF$517,28,FALSE)</f>
        <v>777.48408420000032</v>
      </c>
      <c r="O84" s="520">
        <f>VLOOKUP($B84,'[12]Div 9 forecast'!$D$437:$AF$517,29,FALSE)</f>
        <v>741.46912918558166</v>
      </c>
      <c r="P84" s="107">
        <f t="shared" si="4"/>
        <v>9732.5747097342755</v>
      </c>
      <c r="Q84" s="1"/>
      <c r="R84" s="1"/>
      <c r="S84" s="1"/>
      <c r="Y84" s="933"/>
    </row>
    <row r="85" spans="1:25">
      <c r="A85" s="1113">
        <f t="shared" si="5"/>
        <v>74</v>
      </c>
      <c r="B85" s="468">
        <v>8910</v>
      </c>
      <c r="C85" s="1" t="s">
        <v>947</v>
      </c>
      <c r="D85" s="520">
        <f>VLOOKUP($B85,'[12]Div 9 forecast'!$D$437:$AF$517,18,FALSE)</f>
        <v>2194.4911668654568</v>
      </c>
      <c r="E85" s="520">
        <f>VLOOKUP($B85,'[12]Div 9 forecast'!$D$437:$AF$517,19,FALSE)</f>
        <v>2187.7445690219511</v>
      </c>
      <c r="F85" s="520">
        <f>VLOOKUP($B85,'[12]Div 9 forecast'!$D$437:$AF$517,20,FALSE)</f>
        <v>1974.7469223402718</v>
      </c>
      <c r="G85" s="520">
        <f>VLOOKUP($B85,'[12]Div 9 forecast'!$D$437:$AF$517,21,FALSE)</f>
        <v>2028.8101945701494</v>
      </c>
      <c r="H85" s="520">
        <f>VLOOKUP($B85,'[12]Div 9 forecast'!$D$437:$AF$517,22,FALSE)</f>
        <v>1872.3167403570633</v>
      </c>
      <c r="I85" s="520">
        <f>VLOOKUP($B85,'[12]Div 9 forecast'!$D$437:$AF$517,23,FALSE)</f>
        <v>1876.3177650563996</v>
      </c>
      <c r="J85" s="520">
        <f>VLOOKUP($B85,'[12]Div 9 forecast'!$D$437:$AF$517,24,FALSE)</f>
        <v>1944.1085121296842</v>
      </c>
      <c r="K85" s="520">
        <f>VLOOKUP($B85,'[12]Div 9 forecast'!$D$437:$AF$517,25,FALSE)</f>
        <v>1873.5787557521091</v>
      </c>
      <c r="L85" s="520">
        <f>VLOOKUP($B85,'[12]Div 9 forecast'!$D$437:$AF$517,26,FALSE)</f>
        <v>2057.689002606026</v>
      </c>
      <c r="M85" s="520">
        <f>VLOOKUP($B85,'[12]Div 9 forecast'!$D$437:$AF$517,27,FALSE)</f>
        <v>1930.2695406310718</v>
      </c>
      <c r="N85" s="520">
        <f>VLOOKUP($B85,'[12]Div 9 forecast'!$D$437:$AF$517,28,FALSE)</f>
        <v>1952.4494988673821</v>
      </c>
      <c r="O85" s="520">
        <f>VLOOKUP($B85,'[12]Div 9 forecast'!$D$437:$AF$517,29,FALSE)</f>
        <v>1902.903770593879</v>
      </c>
      <c r="P85" s="107">
        <f t="shared" si="4"/>
        <v>23795.426438791441</v>
      </c>
      <c r="Q85" s="1"/>
      <c r="R85" s="1"/>
      <c r="S85" s="1"/>
      <c r="Y85" s="933"/>
    </row>
    <row r="86" spans="1:25">
      <c r="A86" s="1113">
        <f t="shared" si="5"/>
        <v>75</v>
      </c>
      <c r="B86" s="468">
        <v>8920</v>
      </c>
      <c r="C86" s="1" t="s">
        <v>948</v>
      </c>
      <c r="D86" s="520">
        <f>VLOOKUP($B86,'[12]Div 9 forecast'!$D$437:$AF$517,18,FALSE)</f>
        <v>299.06238509439396</v>
      </c>
      <c r="E86" s="520">
        <f>VLOOKUP($B86,'[12]Div 9 forecast'!$D$437:$AF$517,19,FALSE)</f>
        <v>288.98986351925811</v>
      </c>
      <c r="F86" s="520">
        <f>VLOOKUP($B86,'[12]Div 9 forecast'!$D$437:$AF$517,20,FALSE)</f>
        <v>299.71995737245754</v>
      </c>
      <c r="G86" s="520">
        <f>VLOOKUP($B86,'[12]Div 9 forecast'!$D$437:$AF$517,21,FALSE)</f>
        <v>292.03901542516979</v>
      </c>
      <c r="H86" s="520">
        <f>VLOOKUP($B86,'[12]Div 9 forecast'!$D$437:$AF$517,22,FALSE)</f>
        <v>293.55204705984295</v>
      </c>
      <c r="I86" s="520">
        <f>VLOOKUP($B86,'[12]Div 9 forecast'!$D$437:$AF$517,23,FALSE)</f>
        <v>283.66491169553086</v>
      </c>
      <c r="J86" s="520">
        <f>VLOOKUP($B86,'[12]Div 9 forecast'!$D$437:$AF$517,24,FALSE)</f>
        <v>306.55905777588345</v>
      </c>
      <c r="K86" s="520">
        <f>VLOOKUP($B86,'[12]Div 9 forecast'!$D$437:$AF$517,25,FALSE)</f>
        <v>283.49291132388032</v>
      </c>
      <c r="L86" s="520">
        <f>VLOOKUP($B86,'[12]Div 9 forecast'!$D$437:$AF$517,26,FALSE)</f>
        <v>291.13992913895709</v>
      </c>
      <c r="M86" s="520">
        <f>VLOOKUP($B86,'[12]Div 9 forecast'!$D$437:$AF$517,27,FALSE)</f>
        <v>304.94427296176275</v>
      </c>
      <c r="N86" s="520">
        <f>VLOOKUP($B86,'[12]Div 9 forecast'!$D$437:$AF$517,28,FALSE)</f>
        <v>285.62820436732318</v>
      </c>
      <c r="O86" s="520">
        <f>VLOOKUP($B86,'[12]Div 9 forecast'!$D$437:$AF$517,29,FALSE)</f>
        <v>293.63139766495948</v>
      </c>
      <c r="P86" s="107">
        <f t="shared" si="4"/>
        <v>3522.4239533994196</v>
      </c>
      <c r="Q86" s="1"/>
      <c r="R86" s="1"/>
      <c r="S86" s="1"/>
      <c r="Y86" s="933"/>
    </row>
    <row r="87" spans="1:25">
      <c r="A87" s="1113">
        <f t="shared" si="5"/>
        <v>76</v>
      </c>
      <c r="B87" s="468">
        <v>8930</v>
      </c>
      <c r="C87" s="1" t="s">
        <v>949</v>
      </c>
      <c r="D87" s="520">
        <f>VLOOKUP($B87,'[12]Div 9 forecast'!$D$437:$AF$517,18,FALSE)</f>
        <v>8665.7700128797951</v>
      </c>
      <c r="E87" s="520">
        <f>VLOOKUP($B87,'[12]Div 9 forecast'!$D$437:$AF$517,19,FALSE)</f>
        <v>8318.3750505380158</v>
      </c>
      <c r="F87" s="520">
        <f>VLOOKUP($B87,'[12]Div 9 forecast'!$D$437:$AF$517,20,FALSE)</f>
        <v>9008.2123238654112</v>
      </c>
      <c r="G87" s="520">
        <f>VLOOKUP($B87,'[12]Div 9 forecast'!$D$437:$AF$517,21,FALSE)</f>
        <v>8662.0754309739787</v>
      </c>
      <c r="H87" s="520">
        <f>VLOOKUP($B87,'[12]Div 9 forecast'!$D$437:$AF$517,22,FALSE)</f>
        <v>8918.1248741562304</v>
      </c>
      <c r="I87" s="520">
        <f>VLOOKUP($B87,'[12]Div 9 forecast'!$D$437:$AF$517,23,FALSE)</f>
        <v>8560.5645405758241</v>
      </c>
      <c r="J87" s="520">
        <f>VLOOKUP($B87,'[12]Div 9 forecast'!$D$437:$AF$517,24,FALSE)</f>
        <v>9277.3263907535857</v>
      </c>
      <c r="K87" s="520">
        <f>VLOOKUP($B87,'[12]Div 9 forecast'!$D$437:$AF$517,25,FALSE)</f>
        <v>8560.4740612915466</v>
      </c>
      <c r="L87" s="520">
        <f>VLOOKUP($B87,'[12]Div 9 forecast'!$D$437:$AF$517,26,FALSE)</f>
        <v>8564.4967078249974</v>
      </c>
      <c r="M87" s="520">
        <f>VLOOKUP($B87,'[12]Div 9 forecast'!$D$437:$AF$517,27,FALSE)</f>
        <v>9276.4769473899287</v>
      </c>
      <c r="N87" s="520">
        <f>VLOOKUP($B87,'[12]Div 9 forecast'!$D$437:$AF$517,28,FALSE)</f>
        <v>8561.5973134359538</v>
      </c>
      <c r="O87" s="520">
        <f>VLOOKUP($B87,'[12]Div 9 forecast'!$D$437:$AF$517,29,FALSE)</f>
        <v>8918.1666158448625</v>
      </c>
      <c r="P87" s="107">
        <f t="shared" si="4"/>
        <v>105291.66026953013</v>
      </c>
      <c r="Q87" s="1"/>
      <c r="R87" s="1"/>
      <c r="S87" s="1"/>
      <c r="Y87" s="933"/>
    </row>
    <row r="88" spans="1:25">
      <c r="A88" s="1113">
        <f t="shared" si="5"/>
        <v>77</v>
      </c>
      <c r="B88" s="468">
        <v>8940</v>
      </c>
      <c r="C88" s="1" t="s">
        <v>950</v>
      </c>
      <c r="D88" s="520">
        <f>VLOOKUP($B88,'[12]Div 9 forecast'!$D$437:$AF$517,18,FALSE)</f>
        <v>6226.0488740354394</v>
      </c>
      <c r="E88" s="520">
        <f>VLOOKUP($B88,'[12]Div 9 forecast'!$D$437:$AF$517,19,FALSE)</f>
        <v>6210.914867044763</v>
      </c>
      <c r="F88" s="520">
        <f>VLOOKUP($B88,'[12]Div 9 forecast'!$D$437:$AF$517,20,FALSE)</f>
        <v>5742.6574770562102</v>
      </c>
      <c r="G88" s="520">
        <f>VLOOKUP($B88,'[12]Div 9 forecast'!$D$437:$AF$517,21,FALSE)</f>
        <v>5854.2415235009494</v>
      </c>
      <c r="H88" s="520">
        <f>VLOOKUP($B88,'[12]Div 9 forecast'!$D$437:$AF$517,22,FALSE)</f>
        <v>5485.0007363785426</v>
      </c>
      <c r="I88" s="520">
        <f>VLOOKUP($B88,'[12]Div 9 forecast'!$D$437:$AF$517,23,FALSE)</f>
        <v>5495.0960815500166</v>
      </c>
      <c r="J88" s="520">
        <f>VLOOKUP($B88,'[12]Div 9 forecast'!$D$437:$AF$517,24,FALSE)</f>
        <v>5639.3150559749147</v>
      </c>
      <c r="K88" s="520">
        <f>VLOOKUP($B88,'[12]Div 9 forecast'!$D$437:$AF$517,25,FALSE)</f>
        <v>5485.9961985711743</v>
      </c>
      <c r="L88" s="520">
        <f>VLOOKUP($B88,'[12]Div 9 forecast'!$D$437:$AF$517,26,FALSE)</f>
        <v>5890.5707153967542</v>
      </c>
      <c r="M88" s="520">
        <f>VLOOKUP($B88,'[12]Div 9 forecast'!$D$437:$AF$517,27,FALSE)</f>
        <v>5666.2554314437475</v>
      </c>
      <c r="N88" s="520">
        <f>VLOOKUP($B88,'[12]Div 9 forecast'!$D$437:$AF$517,28,FALSE)</f>
        <v>5711.2675618629546</v>
      </c>
      <c r="O88" s="520">
        <f>VLOOKUP($B88,'[12]Div 9 forecast'!$D$437:$AF$517,29,FALSE)</f>
        <v>5601.1565258263654</v>
      </c>
      <c r="P88" s="107">
        <f t="shared" si="4"/>
        <v>69008.521048641822</v>
      </c>
      <c r="Q88" s="1"/>
      <c r="R88" s="1"/>
      <c r="S88" s="1"/>
      <c r="Y88" s="933"/>
    </row>
    <row r="89" spans="1:25">
      <c r="A89" s="1113">
        <f t="shared" si="5"/>
        <v>78</v>
      </c>
      <c r="B89" s="468">
        <v>9020</v>
      </c>
      <c r="C89" s="1" t="s">
        <v>951</v>
      </c>
      <c r="D89" s="520">
        <f>VLOOKUP($B89,'[12]Div 9 forecast'!$D$437:$AF$517,18,FALSE)</f>
        <v>94391.81071407655</v>
      </c>
      <c r="E89" s="520">
        <f>VLOOKUP($B89,'[12]Div 9 forecast'!$D$437:$AF$517,19,FALSE)</f>
        <v>93514.221580935962</v>
      </c>
      <c r="F89" s="520">
        <f>VLOOKUP($B89,'[12]Div 9 forecast'!$D$437:$AF$517,20,FALSE)</f>
        <v>94731.950261473263</v>
      </c>
      <c r="G89" s="520">
        <f>VLOOKUP($B89,'[12]Div 9 forecast'!$D$437:$AF$517,21,FALSE)</f>
        <v>94174.034502924609</v>
      </c>
      <c r="H89" s="520">
        <f>VLOOKUP($B89,'[12]Div 9 forecast'!$D$437:$AF$517,22,FALSE)</f>
        <v>94424.040671314826</v>
      </c>
      <c r="I89" s="520">
        <f>VLOOKUP($B89,'[12]Div 9 forecast'!$D$437:$AF$517,23,FALSE)</f>
        <v>92363.702687912824</v>
      </c>
      <c r="J89" s="520">
        <f>VLOOKUP($B89,'[12]Div 9 forecast'!$D$437:$AF$517,24,FALSE)</f>
        <v>94551.649285063759</v>
      </c>
      <c r="K89" s="520">
        <f>VLOOKUP($B89,'[12]Div 9 forecast'!$D$437:$AF$517,25,FALSE)</f>
        <v>92225.393540013043</v>
      </c>
      <c r="L89" s="520">
        <f>VLOOKUP($B89,'[12]Div 9 forecast'!$D$437:$AF$517,26,FALSE)</f>
        <v>92415.712541488261</v>
      </c>
      <c r="M89" s="520">
        <f>VLOOKUP($B89,'[12]Div 9 forecast'!$D$437:$AF$517,27,FALSE)</f>
        <v>96577.611049155355</v>
      </c>
      <c r="N89" s="520">
        <f>VLOOKUP($B89,'[12]Div 9 forecast'!$D$437:$AF$517,28,FALSE)</f>
        <v>95089.394780477771</v>
      </c>
      <c r="O89" s="520">
        <f>VLOOKUP($B89,'[12]Div 9 forecast'!$D$437:$AF$517,29,FALSE)</f>
        <v>95555.974324513823</v>
      </c>
      <c r="P89" s="107">
        <f t="shared" si="4"/>
        <v>1130015.49593935</v>
      </c>
      <c r="Q89" s="1"/>
      <c r="R89" s="1"/>
      <c r="S89" s="1"/>
      <c r="Y89" s="933"/>
    </row>
    <row r="90" spans="1:25">
      <c r="A90" s="1113">
        <f t="shared" si="5"/>
        <v>79</v>
      </c>
      <c r="B90" s="468">
        <v>9030</v>
      </c>
      <c r="C90" s="1" t="s">
        <v>956</v>
      </c>
      <c r="D90" s="520">
        <f>VLOOKUP($B90,'[12]Div 9 forecast'!$D$437:$AF$517,18,FALSE)</f>
        <v>31212.496438074479</v>
      </c>
      <c r="E90" s="520">
        <f>VLOOKUP($B90,'[12]Div 9 forecast'!$D$437:$AF$517,19,FALSE)</f>
        <v>30028.817107578048</v>
      </c>
      <c r="F90" s="520">
        <f>VLOOKUP($B90,'[12]Div 9 forecast'!$D$437:$AF$517,20,FALSE)</f>
        <v>32080.60875815092</v>
      </c>
      <c r="G90" s="520">
        <f>VLOOKUP($B90,'[12]Div 9 forecast'!$D$437:$AF$517,21,FALSE)</f>
        <v>31030.559179991469</v>
      </c>
      <c r="H90" s="520">
        <f>VLOOKUP($B90,'[12]Div 9 forecast'!$D$437:$AF$517,22,FALSE)</f>
        <v>32093.239663517012</v>
      </c>
      <c r="I90" s="520">
        <f>VLOOKUP($B90,'[12]Div 9 forecast'!$D$437:$AF$517,23,FALSE)</f>
        <v>30661.888342089951</v>
      </c>
      <c r="J90" s="520">
        <f>VLOOKUP($B90,'[12]Div 9 forecast'!$D$437:$AF$517,24,FALSE)</f>
        <v>33210.838499564728</v>
      </c>
      <c r="K90" s="520">
        <f>VLOOKUP($B90,'[12]Div 9 forecast'!$D$437:$AF$517,25,FALSE)</f>
        <v>30585.625724885984</v>
      </c>
      <c r="L90" s="520">
        <f>VLOOKUP($B90,'[12]Div 9 forecast'!$D$437:$AF$517,26,FALSE)</f>
        <v>30698.806119064411</v>
      </c>
      <c r="M90" s="520">
        <f>VLOOKUP($B90,'[12]Div 9 forecast'!$D$437:$AF$517,27,FALSE)</f>
        <v>32988.889260120413</v>
      </c>
      <c r="N90" s="520">
        <f>VLOOKUP($B90,'[12]Div 9 forecast'!$D$437:$AF$517,28,FALSE)</f>
        <v>30687.642668019842</v>
      </c>
      <c r="O90" s="520">
        <f>VLOOKUP($B90,'[12]Div 9 forecast'!$D$437:$AF$517,29,FALSE)</f>
        <v>31744.323157592386</v>
      </c>
      <c r="P90" s="107">
        <f t="shared" si="4"/>
        <v>377023.73491864966</v>
      </c>
      <c r="Q90" s="1"/>
      <c r="R90" s="1"/>
      <c r="S90" s="1"/>
      <c r="Y90" s="933"/>
    </row>
    <row r="91" spans="1:25">
      <c r="A91" s="1113">
        <f t="shared" si="5"/>
        <v>80</v>
      </c>
      <c r="B91" s="468">
        <v>9040</v>
      </c>
      <c r="C91" s="1" t="s">
        <v>957</v>
      </c>
      <c r="D91" s="123">
        <f>-0.005*SUM(D17,D19,D23,D35,D36,D38)</f>
        <v>21186.127383439885</v>
      </c>
      <c r="E91" s="123">
        <f t="shared" ref="E91:O91" si="6">-0.005*SUM(E17,E19,E23,E35,E36,E38)</f>
        <v>20401.051177681464</v>
      </c>
      <c r="F91" s="123">
        <f t="shared" si="6"/>
        <v>21087.119766173932</v>
      </c>
      <c r="G91" s="123">
        <f t="shared" si="6"/>
        <v>20693.010549829349</v>
      </c>
      <c r="H91" s="123">
        <f t="shared" si="6"/>
        <v>26046.040328151932</v>
      </c>
      <c r="I91" s="123">
        <f t="shared" si="6"/>
        <v>38672.553045638655</v>
      </c>
      <c r="J91" s="123">
        <f t="shared" si="6"/>
        <v>42568.32115217868</v>
      </c>
      <c r="K91" s="123">
        <f t="shared" si="6"/>
        <v>43059.558756837694</v>
      </c>
      <c r="L91" s="123">
        <f t="shared" si="6"/>
        <v>38649.959919875182</v>
      </c>
      <c r="M91" s="123">
        <f t="shared" si="6"/>
        <v>22455.961386114643</v>
      </c>
      <c r="N91" s="123">
        <f t="shared" si="6"/>
        <v>4938.0573762805652</v>
      </c>
      <c r="O91" s="123">
        <f t="shared" si="6"/>
        <v>13668.419573133933</v>
      </c>
      <c r="P91" s="107">
        <f t="shared" si="4"/>
        <v>313426.18041533593</v>
      </c>
      <c r="Q91" s="1"/>
      <c r="R91" s="1"/>
      <c r="S91" s="1"/>
      <c r="Y91" s="933"/>
    </row>
    <row r="92" spans="1:25">
      <c r="A92" s="1113">
        <f t="shared" si="5"/>
        <v>81</v>
      </c>
      <c r="B92" s="468">
        <v>9090</v>
      </c>
      <c r="C92" s="1" t="s">
        <v>958</v>
      </c>
      <c r="D92" s="520">
        <f>VLOOKUP($B92,'[12]Div 9 forecast'!$D$437:$AF$517,18,FALSE)</f>
        <v>10215.339350150252</v>
      </c>
      <c r="E92" s="520">
        <f>VLOOKUP($B92,'[12]Div 9 forecast'!$D$437:$AF$517,19,FALSE)</f>
        <v>9886.4097579202789</v>
      </c>
      <c r="F92" s="520">
        <f>VLOOKUP($B92,'[12]Div 9 forecast'!$D$437:$AF$517,20,FALSE)</f>
        <v>10337.145357602538</v>
      </c>
      <c r="G92" s="520">
        <f>VLOOKUP($B92,'[12]Div 9 forecast'!$D$437:$AF$517,21,FALSE)</f>
        <v>10216.969652849475</v>
      </c>
      <c r="H92" s="520">
        <f>VLOOKUP($B92,'[12]Div 9 forecast'!$D$437:$AF$517,22,FALSE)</f>
        <v>10693.835908906985</v>
      </c>
      <c r="I92" s="520">
        <f>VLOOKUP($B92,'[12]Div 9 forecast'!$D$437:$AF$517,23,FALSE)</f>
        <v>9940.7372726146205</v>
      </c>
      <c r="J92" s="520">
        <f>VLOOKUP($B92,'[12]Div 9 forecast'!$D$437:$AF$517,24,FALSE)</f>
        <v>10735.183840760425</v>
      </c>
      <c r="K92" s="520">
        <f>VLOOKUP($B92,'[12]Div 9 forecast'!$D$437:$AF$517,25,FALSE)</f>
        <v>9922.8868685696289</v>
      </c>
      <c r="L92" s="520">
        <f>VLOOKUP($B92,'[12]Div 9 forecast'!$D$437:$AF$517,26,FALSE)</f>
        <v>9945.3520878267755</v>
      </c>
      <c r="M92" s="520">
        <f>VLOOKUP($B92,'[12]Div 9 forecast'!$D$437:$AF$517,27,FALSE)</f>
        <v>10648.396867121815</v>
      </c>
      <c r="N92" s="520">
        <f>VLOOKUP($B92,'[12]Div 9 forecast'!$D$437:$AF$517,28,FALSE)</f>
        <v>10166.762157747067</v>
      </c>
      <c r="O92" s="520">
        <f>VLOOKUP($B92,'[12]Div 9 forecast'!$D$437:$AF$517,29,FALSE)</f>
        <v>10268.917326936953</v>
      </c>
      <c r="P92" s="107">
        <f t="shared" si="4"/>
        <v>122977.93644900681</v>
      </c>
      <c r="Q92" s="1"/>
      <c r="R92" s="209"/>
      <c r="S92" s="1"/>
      <c r="Y92" s="933"/>
    </row>
    <row r="93" spans="1:25" s="1058" customFormat="1">
      <c r="A93" s="1113">
        <f t="shared" si="5"/>
        <v>82</v>
      </c>
      <c r="B93" s="1061">
        <v>9100</v>
      </c>
      <c r="C93" s="204" t="s">
        <v>959</v>
      </c>
      <c r="D93" s="520">
        <f>VLOOKUP($B93,'[12]Div 9 forecast'!$D$437:$AF$517,18,FALSE)</f>
        <v>8.2086820201159192</v>
      </c>
      <c r="E93" s="520">
        <f>VLOOKUP($B93,'[12]Div 9 forecast'!$D$437:$AF$517,19,FALSE)</f>
        <v>12.629888315251963</v>
      </c>
      <c r="F93" s="520">
        <f>VLOOKUP($B93,'[12]Div 9 forecast'!$D$437:$AF$517,20,FALSE)</f>
        <v>8.7837904743594031</v>
      </c>
      <c r="G93" s="520">
        <f>VLOOKUP($B93,'[12]Div 9 forecast'!$D$437:$AF$517,21,FALSE)</f>
        <v>19.810924097013746</v>
      </c>
      <c r="H93" s="520">
        <f>VLOOKUP($B93,'[12]Div 9 forecast'!$D$437:$AF$517,22,FALSE)</f>
        <v>19.059756159003275</v>
      </c>
      <c r="I93" s="520">
        <f>VLOOKUP($B93,'[12]Div 9 forecast'!$D$437:$AF$517,23,FALSE)</f>
        <v>11.74575177838436</v>
      </c>
      <c r="J93" s="520">
        <f>VLOOKUP($B93,'[12]Div 9 forecast'!$D$437:$AF$517,24,FALSE)</f>
        <v>8.2054167573347652</v>
      </c>
      <c r="K93" s="520">
        <f>VLOOKUP($B93,'[12]Div 9 forecast'!$D$437:$AF$517,25,FALSE)</f>
        <v>27.972780680483876</v>
      </c>
      <c r="L93" s="520">
        <f>VLOOKUP($B93,'[12]Div 9 forecast'!$D$437:$AF$517,26,FALSE)</f>
        <v>10.995414318812838</v>
      </c>
      <c r="M93" s="520">
        <f>VLOOKUP($B93,'[12]Div 9 forecast'!$D$437:$AF$517,27,FALSE)</f>
        <v>18.128699489803793</v>
      </c>
      <c r="N93" s="520">
        <f>VLOOKUP($B93,'[12]Div 9 forecast'!$D$437:$AF$517,28,FALSE)</f>
        <v>14.620983293495767</v>
      </c>
      <c r="O93" s="520">
        <f>VLOOKUP($B93,'[12]Div 9 forecast'!$D$437:$AF$517,29,FALSE)</f>
        <v>18.528660308869494</v>
      </c>
      <c r="P93" s="107">
        <f t="shared" si="4"/>
        <v>178.69074769292916</v>
      </c>
      <c r="Q93" s="1"/>
      <c r="R93" s="209"/>
      <c r="S93" s="1"/>
      <c r="Y93" s="933"/>
    </row>
    <row r="94" spans="1:25">
      <c r="A94" s="1113">
        <f t="shared" si="5"/>
        <v>83</v>
      </c>
      <c r="B94" s="468">
        <v>9110</v>
      </c>
      <c r="C94" s="1" t="s">
        <v>960</v>
      </c>
      <c r="D94" s="520">
        <f>VLOOKUP($B94,'[12]Div 9 forecast'!$D$437:$AF$517,18,FALSE)</f>
        <v>19322.031733742351</v>
      </c>
      <c r="E94" s="520">
        <f>VLOOKUP($B94,'[12]Div 9 forecast'!$D$437:$AF$517,19,FALSE)</f>
        <v>19932.253516155692</v>
      </c>
      <c r="F94" s="520">
        <f>VLOOKUP($B94,'[12]Div 9 forecast'!$D$437:$AF$517,20,FALSE)</f>
        <v>19555.151618401498</v>
      </c>
      <c r="G94" s="520">
        <f>VLOOKUP($B94,'[12]Div 9 forecast'!$D$437:$AF$517,21,FALSE)</f>
        <v>22208.354674738126</v>
      </c>
      <c r="H94" s="520">
        <f>VLOOKUP($B94,'[12]Div 9 forecast'!$D$437:$AF$517,22,FALSE)</f>
        <v>23020.403476125051</v>
      </c>
      <c r="I94" s="520">
        <f>VLOOKUP($B94,'[12]Div 9 forecast'!$D$437:$AF$517,23,FALSE)</f>
        <v>19634.471919377105</v>
      </c>
      <c r="J94" s="520">
        <f>VLOOKUP($B94,'[12]Div 9 forecast'!$D$437:$AF$517,24,FALSE)</f>
        <v>20122.572369511734</v>
      </c>
      <c r="K94" s="520">
        <f>VLOOKUP($B94,'[12]Div 9 forecast'!$D$437:$AF$517,25,FALSE)</f>
        <v>23710.431629266539</v>
      </c>
      <c r="L94" s="520">
        <f>VLOOKUP($B94,'[12]Div 9 forecast'!$D$437:$AF$517,26,FALSE)</f>
        <v>19496.966141856672</v>
      </c>
      <c r="M94" s="520">
        <f>VLOOKUP($B94,'[12]Div 9 forecast'!$D$437:$AF$517,27,FALSE)</f>
        <v>22478.699936266825</v>
      </c>
      <c r="N94" s="520">
        <f>VLOOKUP($B94,'[12]Div 9 forecast'!$D$437:$AF$517,28,FALSE)</f>
        <v>20804.878975667754</v>
      </c>
      <c r="O94" s="520">
        <f>VLOOKUP($B94,'[12]Div 9 forecast'!$D$437:$AF$517,29,FALSE)</f>
        <v>21974.827570931982</v>
      </c>
      <c r="P94" s="107">
        <f t="shared" ref="P94:P107" si="7">SUM(D94:O94)</f>
        <v>252261.0435620413</v>
      </c>
      <c r="Q94" s="1"/>
      <c r="R94" s="209"/>
      <c r="S94" s="1"/>
      <c r="Y94" s="933"/>
    </row>
    <row r="95" spans="1:25">
      <c r="A95" s="1113">
        <f t="shared" si="5"/>
        <v>84</v>
      </c>
      <c r="B95" s="468">
        <v>9120</v>
      </c>
      <c r="C95" s="1" t="s">
        <v>961</v>
      </c>
      <c r="D95" s="520">
        <f>VLOOKUP($B95,'[12]Div 9 forecast'!$D$437:$AF$517,18,FALSE)</f>
        <v>2509.0348429951446</v>
      </c>
      <c r="E95" s="520">
        <f>VLOOKUP($B95,'[12]Div 9 forecast'!$D$437:$AF$517,19,FALSE)</f>
        <v>3860.4041146250811</v>
      </c>
      <c r="F95" s="520">
        <f>VLOOKUP($B95,'[12]Div 9 forecast'!$D$437:$AF$517,20,FALSE)</f>
        <v>2684.8203280050266</v>
      </c>
      <c r="G95" s="520">
        <f>VLOOKUP($B95,'[12]Div 9 forecast'!$D$437:$AF$517,21,FALSE)</f>
        <v>6055.3324771907382</v>
      </c>
      <c r="H95" s="520">
        <f>VLOOKUP($B95,'[12]Div 9 forecast'!$D$437:$AF$517,22,FALSE)</f>
        <v>5825.7333131848127</v>
      </c>
      <c r="I95" s="520">
        <f>VLOOKUP($B95,'[12]Div 9 forecast'!$D$437:$AF$517,23,FALSE)</f>
        <v>3590.1622692801502</v>
      </c>
      <c r="J95" s="520">
        <f>VLOOKUP($B95,'[12]Div 9 forecast'!$D$437:$AF$517,24,FALSE)</f>
        <v>2508.0367950662107</v>
      </c>
      <c r="K95" s="520">
        <f>VLOOKUP($B95,'[12]Div 9 forecast'!$D$437:$AF$517,25,FALSE)</f>
        <v>8550.0548335047279</v>
      </c>
      <c r="L95" s="520">
        <f>VLOOKUP($B95,'[12]Div 9 forecast'!$D$437:$AF$517,26,FALSE)</f>
        <v>3360.8169461873667</v>
      </c>
      <c r="M95" s="520">
        <f>VLOOKUP($B95,'[12]Div 9 forecast'!$D$437:$AF$517,27,FALSE)</f>
        <v>5541.1500368318175</v>
      </c>
      <c r="N95" s="520">
        <f>VLOOKUP($B95,'[12]Div 9 forecast'!$D$437:$AF$517,28,FALSE)</f>
        <v>4468.994709788105</v>
      </c>
      <c r="O95" s="520">
        <f>VLOOKUP($B95,'[12]Div 9 forecast'!$D$437:$AF$517,29,FALSE)</f>
        <v>5663.4005550525926</v>
      </c>
      <c r="P95" s="107">
        <f t="shared" si="7"/>
        <v>54617.941221711779</v>
      </c>
      <c r="Q95" s="1"/>
      <c r="R95" s="209"/>
      <c r="S95" s="1"/>
      <c r="Y95" s="933"/>
    </row>
    <row r="96" spans="1:25">
      <c r="A96" s="1113">
        <f t="shared" si="5"/>
        <v>85</v>
      </c>
      <c r="B96" s="468">
        <v>9130</v>
      </c>
      <c r="C96" s="1" t="s">
        <v>962</v>
      </c>
      <c r="D96" s="520">
        <f>VLOOKUP($B96,'[12]Div 9 forecast'!$D$437:$AF$517,18,FALSE)</f>
        <v>1032.4011090334966</v>
      </c>
      <c r="E96" s="520">
        <f>VLOOKUP($B96,'[12]Div 9 forecast'!$D$437:$AF$517,19,FALSE)</f>
        <v>1588.4536240631717</v>
      </c>
      <c r="F96" s="520">
        <f>VLOOKUP($B96,'[12]Div 9 forecast'!$D$437:$AF$517,20,FALSE)</f>
        <v>1104.7321610246088</v>
      </c>
      <c r="G96" s="520">
        <f>VLOOKUP($B96,'[12]Div 9 forecast'!$D$437:$AF$517,21,FALSE)</f>
        <v>2491.6082701966557</v>
      </c>
      <c r="H96" s="520">
        <f>VLOOKUP($B96,'[12]Div 9 forecast'!$D$437:$AF$517,22,FALSE)</f>
        <v>2397.1343204965715</v>
      </c>
      <c r="I96" s="520">
        <f>VLOOKUP($B96,'[12]Div 9 forecast'!$D$437:$AF$517,23,FALSE)</f>
        <v>1477.2562919016489</v>
      </c>
      <c r="J96" s="520">
        <f>VLOOKUP($B96,'[12]Div 9 forecast'!$D$437:$AF$517,24,FALSE)</f>
        <v>1031.9904388542539</v>
      </c>
      <c r="K96" s="520">
        <f>VLOOKUP($B96,'[12]Div 9 forecast'!$D$437:$AF$517,25,FALSE)</f>
        <v>3518.1201716075866</v>
      </c>
      <c r="L96" s="520">
        <f>VLOOKUP($B96,'[12]Div 9 forecast'!$D$437:$AF$517,26,FALSE)</f>
        <v>1382.8867909863145</v>
      </c>
      <c r="M96" s="520">
        <f>VLOOKUP($B96,'[12]Div 9 forecast'!$D$437:$AF$517,27,FALSE)</f>
        <v>2280.0358708917465</v>
      </c>
      <c r="N96" s="520">
        <f>VLOOKUP($B96,'[12]Div 9 forecast'!$D$437:$AF$517,28,FALSE)</f>
        <v>1838.8724682445545</v>
      </c>
      <c r="O96" s="520">
        <f>VLOOKUP($B96,'[12]Div 9 forecast'!$D$437:$AF$517,29,FALSE)</f>
        <v>2330.33870783457</v>
      </c>
      <c r="P96" s="107">
        <f t="shared" si="7"/>
        <v>22473.830225135178</v>
      </c>
      <c r="Q96" s="1"/>
      <c r="R96" s="209"/>
      <c r="S96" s="1"/>
      <c r="Y96" s="933"/>
    </row>
    <row r="97" spans="1:25">
      <c r="A97" s="1113">
        <f t="shared" si="5"/>
        <v>86</v>
      </c>
      <c r="B97" s="468">
        <v>9200</v>
      </c>
      <c r="C97" s="119" t="s">
        <v>1351</v>
      </c>
      <c r="D97" s="520">
        <f>VLOOKUP($B97,'[12]Div 9 forecast'!$D$437:$AF$517,18,FALSE)</f>
        <v>11025.913104683399</v>
      </c>
      <c r="E97" s="520">
        <f>VLOOKUP($B97,'[12]Div 9 forecast'!$D$437:$AF$517,19,FALSE)</f>
        <v>10582.597952988071</v>
      </c>
      <c r="F97" s="520">
        <f>VLOOKUP($B97,'[12]Div 9 forecast'!$D$437:$AF$517,20,FALSE)</f>
        <v>11469.228256378728</v>
      </c>
      <c r="G97" s="520">
        <f>VLOOKUP($B97,'[12]Div 9 forecast'!$D$437:$AF$517,21,FALSE)</f>
        <v>11025.913104683399</v>
      </c>
      <c r="H97" s="520">
        <f>VLOOKUP($B97,'[12]Div 9 forecast'!$D$437:$AF$517,22,FALSE)</f>
        <v>11356.690497823902</v>
      </c>
      <c r="I97" s="520">
        <f>VLOOKUP($B97,'[12]Div 9 forecast'!$D$437:$AF$517,23,FALSE)</f>
        <v>10900.075891577715</v>
      </c>
      <c r="J97" s="520">
        <f>VLOOKUP($B97,'[12]Div 9 forecast'!$D$437:$AF$517,24,FALSE)</f>
        <v>11813.305104070092</v>
      </c>
      <c r="K97" s="520">
        <f>VLOOKUP($B97,'[12]Div 9 forecast'!$D$437:$AF$517,25,FALSE)</f>
        <v>10900.075891577715</v>
      </c>
      <c r="L97" s="520">
        <f>VLOOKUP($B97,'[12]Div 9 forecast'!$D$437:$AF$517,26,FALSE)</f>
        <v>10900.075891577715</v>
      </c>
      <c r="M97" s="520">
        <f>VLOOKUP($B97,'[12]Div 9 forecast'!$D$437:$AF$517,27,FALSE)</f>
        <v>11813.305104070092</v>
      </c>
      <c r="N97" s="520">
        <f>VLOOKUP($B97,'[12]Div 9 forecast'!$D$437:$AF$517,28,FALSE)</f>
        <v>10900.075891577715</v>
      </c>
      <c r="O97" s="520">
        <f>VLOOKUP($B97,'[12]Div 9 forecast'!$D$437:$AF$517,29,FALSE)</f>
        <v>11356.690497823902</v>
      </c>
      <c r="P97" s="107">
        <f t="shared" ref="P97" si="8">SUM(D97:O97)</f>
        <v>134043.94718883245</v>
      </c>
      <c r="Q97" s="1"/>
      <c r="R97" s="209"/>
      <c r="S97" s="1"/>
      <c r="Y97" s="933"/>
    </row>
    <row r="98" spans="1:25">
      <c r="A98" s="1113">
        <f t="shared" si="5"/>
        <v>87</v>
      </c>
      <c r="B98" s="468">
        <v>9210</v>
      </c>
      <c r="C98" s="1" t="s">
        <v>963</v>
      </c>
      <c r="D98" s="520">
        <f>VLOOKUP($B98,'[12]Div 9 forecast'!$D$437:$AF$517,18,FALSE)</f>
        <v>543.03077634849785</v>
      </c>
      <c r="E98" s="520">
        <f>VLOOKUP($B98,'[12]Div 9 forecast'!$D$437:$AF$517,19,FALSE)</f>
        <v>542.68630036605168</v>
      </c>
      <c r="F98" s="520">
        <f>VLOOKUP($B98,'[12]Div 9 forecast'!$D$437:$AF$517,20,FALSE)</f>
        <v>566.80065023316399</v>
      </c>
      <c r="G98" s="520">
        <f>VLOOKUP($B98,'[12]Div 9 forecast'!$D$437:$AF$517,21,FALSE)</f>
        <v>898.07877716975838</v>
      </c>
      <c r="H98" s="520">
        <f>VLOOKUP($B98,'[12]Div 9 forecast'!$D$437:$AF$517,22,FALSE)</f>
        <v>568.7192730069246</v>
      </c>
      <c r="I98" s="520">
        <f>VLOOKUP($B98,'[12]Div 9 forecast'!$D$437:$AF$517,23,FALSE)</f>
        <v>474.97241968299255</v>
      </c>
      <c r="J98" s="520">
        <f>VLOOKUP($B98,'[12]Div 9 forecast'!$D$437:$AF$517,24,FALSE)</f>
        <v>530.19736756898271</v>
      </c>
      <c r="K98" s="520">
        <f>VLOOKUP($B98,'[12]Div 9 forecast'!$D$437:$AF$517,25,FALSE)</f>
        <v>574.29439170761214</v>
      </c>
      <c r="L98" s="520">
        <f>VLOOKUP($B98,'[12]Div 9 forecast'!$D$437:$AF$517,26,FALSE)</f>
        <v>479.03295254295307</v>
      </c>
      <c r="M98" s="520">
        <f>VLOOKUP($B98,'[12]Div 9 forecast'!$D$437:$AF$517,27,FALSE)</f>
        <v>488.02905202739061</v>
      </c>
      <c r="N98" s="520">
        <f>VLOOKUP($B98,'[12]Div 9 forecast'!$D$437:$AF$517,28,FALSE)</f>
        <v>540.53069432185032</v>
      </c>
      <c r="O98" s="520">
        <f>VLOOKUP($B98,'[12]Div 9 forecast'!$D$437:$AF$517,29,FALSE)</f>
        <v>642.03973246881321</v>
      </c>
      <c r="P98" s="107">
        <f t="shared" si="7"/>
        <v>6848.4123874449897</v>
      </c>
      <c r="Q98" s="1"/>
      <c r="R98" s="209"/>
      <c r="S98" s="1"/>
      <c r="Y98" s="933"/>
    </row>
    <row r="99" spans="1:25">
      <c r="A99" s="1113">
        <f t="shared" si="5"/>
        <v>88</v>
      </c>
      <c r="B99" s="468">
        <v>9220</v>
      </c>
      <c r="C99" s="1" t="s">
        <v>964</v>
      </c>
      <c r="D99" s="123">
        <f>-('C.2.2-F 02'!D38+'C.2.2-F 12'!D34+'C.2.2-F 91'!D52)</f>
        <v>1113358.8281978024</v>
      </c>
      <c r="E99" s="123">
        <f>-('C.2.2-F 02'!E38+'C.2.2-F 12'!E34+'C.2.2-F 91'!E52)</f>
        <v>1294539.7924305424</v>
      </c>
      <c r="F99" s="123">
        <f>-('C.2.2-F 02'!F38+'C.2.2-F 12'!F34+'C.2.2-F 91'!F52)</f>
        <v>1028570.0518997214</v>
      </c>
      <c r="G99" s="123">
        <f>-('C.2.2-F 02'!G38+'C.2.2-F 12'!G34+'C.2.2-F 91'!G52)</f>
        <v>1130412.2090201944</v>
      </c>
      <c r="H99" s="123">
        <f>-('C.2.2-F 02'!H38+'C.2.2-F 12'!H34+'C.2.2-F 91'!H52)</f>
        <v>1142711.9478656414</v>
      </c>
      <c r="I99" s="123">
        <f>-('C.2.2-F 02'!I38+'C.2.2-F 12'!I34+'C.2.2-F 91'!I52)</f>
        <v>1147478.1477041971</v>
      </c>
      <c r="J99" s="123">
        <f>-('C.2.2-F 02'!J38+'C.2.2-F 12'!J34+'C.2.2-F 91'!J52)</f>
        <v>1224853.6225956643</v>
      </c>
      <c r="K99" s="123">
        <f>-('C.2.2-F 02'!K38+'C.2.2-F 12'!K34+'C.2.2-F 91'!K52)</f>
        <v>1138170.2775287186</v>
      </c>
      <c r="L99" s="123">
        <f>-('C.2.2-F 02'!L38+'C.2.2-F 12'!L34+'C.2.2-F 91'!L52)</f>
        <v>1099671.9445111228</v>
      </c>
      <c r="M99" s="123">
        <f>-('C.2.2-F 02'!M38+'C.2.2-F 12'!M34+'C.2.2-F 91'!M52)</f>
        <v>1264604.3405168098</v>
      </c>
      <c r="N99" s="123">
        <f>-('C.2.2-F 02'!N38+'C.2.2-F 12'!N34+'C.2.2-F 91'!N52)</f>
        <v>1121617.8220436457</v>
      </c>
      <c r="O99" s="123">
        <f>-('C.2.2-F 02'!O38+'C.2.2-F 12'!O34+'C.2.2-F 91'!O52)</f>
        <v>1319288.3423617939</v>
      </c>
      <c r="P99" s="107">
        <f>SUM(D99:O99)</f>
        <v>14025277.326675855</v>
      </c>
      <c r="Q99" s="771"/>
      <c r="R99" s="209"/>
      <c r="S99" s="1"/>
      <c r="Y99" s="933"/>
    </row>
    <row r="100" spans="1:25">
      <c r="A100" s="1113">
        <f t="shared" si="5"/>
        <v>89</v>
      </c>
      <c r="B100" s="468">
        <v>9230</v>
      </c>
      <c r="C100" s="1" t="s">
        <v>965</v>
      </c>
      <c r="D100" s="520">
        <f>VLOOKUP($B100,'[12]Div 9 forecast'!$D$437:$AF$517,18,FALSE)</f>
        <v>15639.701142928685</v>
      </c>
      <c r="E100" s="520">
        <f>VLOOKUP($B100,'[12]Div 9 forecast'!$D$437:$AF$517,19,FALSE)</f>
        <v>15638.689416147887</v>
      </c>
      <c r="F100" s="520">
        <f>VLOOKUP($B100,'[12]Div 9 forecast'!$D$437:$AF$517,20,FALSE)</f>
        <v>15639.251747230424</v>
      </c>
      <c r="G100" s="520">
        <f>VLOOKUP($B100,'[12]Div 9 forecast'!$D$437:$AF$517,21,FALSE)</f>
        <v>15637.908476596547</v>
      </c>
      <c r="H100" s="520">
        <f>VLOOKUP($B100,'[12]Div 9 forecast'!$D$437:$AF$517,22,FALSE)</f>
        <v>15352.499896005793</v>
      </c>
      <c r="I100" s="520">
        <f>VLOOKUP($B100,'[12]Div 9 forecast'!$D$437:$AF$517,23,FALSE)</f>
        <v>15354.214436103812</v>
      </c>
      <c r="J100" s="520">
        <f>VLOOKUP($B100,'[12]Div 9 forecast'!$D$437:$AF$517,24,FALSE)</f>
        <v>15356.149753148897</v>
      </c>
      <c r="K100" s="520">
        <f>VLOOKUP($B100,'[12]Div 9 forecast'!$D$437:$AF$517,25,FALSE)</f>
        <v>15351.039175670536</v>
      </c>
      <c r="L100" s="520">
        <f>VLOOKUP($B100,'[12]Div 9 forecast'!$D$437:$AF$517,26,FALSE)</f>
        <v>15345.571293424473</v>
      </c>
      <c r="M100" s="520">
        <f>VLOOKUP($B100,'[12]Div 9 forecast'!$D$437:$AF$517,27,FALSE)</f>
        <v>15869.712803195502</v>
      </c>
      <c r="N100" s="520">
        <f>VLOOKUP($B100,'[12]Div 9 forecast'!$D$437:$AF$517,28,FALSE)</f>
        <v>15869.701074001288</v>
      </c>
      <c r="O100" s="520">
        <f>VLOOKUP($B100,'[12]Div 9 forecast'!$D$437:$AF$517,29,FALSE)</f>
        <v>15869.809839119567</v>
      </c>
      <c r="P100" s="107">
        <f t="shared" si="7"/>
        <v>186924.24905357341</v>
      </c>
      <c r="Q100" s="1"/>
      <c r="R100" s="209"/>
      <c r="S100" s="1"/>
      <c r="Y100" s="933"/>
    </row>
    <row r="101" spans="1:25">
      <c r="A101" s="1113">
        <f t="shared" si="5"/>
        <v>90</v>
      </c>
      <c r="B101" s="468">
        <v>9240</v>
      </c>
      <c r="C101" s="1" t="s">
        <v>966</v>
      </c>
      <c r="D101" s="520">
        <f>VLOOKUP($B101,'[12]Div 9 forecast'!$D$437:$AF$517,18,FALSE)</f>
        <v>679.37987320095499</v>
      </c>
      <c r="E101" s="520">
        <f>VLOOKUP($B101,'[12]Div 9 forecast'!$D$437:$AF$517,19,FALSE)</f>
        <v>679.37987320095499</v>
      </c>
      <c r="F101" s="520">
        <f>VLOOKUP($B101,'[12]Div 9 forecast'!$D$437:$AF$517,20,FALSE)</f>
        <v>679.37987320095499</v>
      </c>
      <c r="G101" s="520">
        <f>VLOOKUP($B101,'[12]Div 9 forecast'!$D$437:$AF$517,21,FALSE)</f>
        <v>684.10435076146246</v>
      </c>
      <c r="H101" s="520">
        <f>VLOOKUP($B101,'[12]Div 9 forecast'!$D$437:$AF$517,22,FALSE)</f>
        <v>679.37987320095499</v>
      </c>
      <c r="I101" s="520">
        <f>VLOOKUP($B101,'[12]Div 9 forecast'!$D$437:$AF$517,23,FALSE)</f>
        <v>679.37987320095499</v>
      </c>
      <c r="J101" s="520">
        <f>VLOOKUP($B101,'[12]Div 9 forecast'!$D$437:$AF$517,24,FALSE)</f>
        <v>679.37987320095499</v>
      </c>
      <c r="K101" s="520">
        <f>VLOOKUP($B101,'[12]Div 9 forecast'!$D$437:$AF$517,25,FALSE)</f>
        <v>679.37987320095499</v>
      </c>
      <c r="L101" s="520">
        <f>VLOOKUP($B101,'[12]Div 9 forecast'!$D$437:$AF$517,26,FALSE)</f>
        <v>679.37987320095499</v>
      </c>
      <c r="M101" s="520">
        <f>VLOOKUP($B101,'[12]Div 9 forecast'!$D$437:$AF$517,27,FALSE)</f>
        <v>679.37987320095499</v>
      </c>
      <c r="N101" s="520">
        <f>VLOOKUP($B101,'[12]Div 9 forecast'!$D$437:$AF$517,28,FALSE)</f>
        <v>679.37987320095499</v>
      </c>
      <c r="O101" s="520">
        <f>VLOOKUP($B101,'[12]Div 9 forecast'!$D$437:$AF$517,29,FALSE)</f>
        <v>679.37987320095499</v>
      </c>
      <c r="P101" s="107">
        <f t="shared" si="7"/>
        <v>8157.2829559719648</v>
      </c>
      <c r="Q101" s="1"/>
      <c r="R101" s="209"/>
      <c r="S101" s="1"/>
      <c r="Y101" s="933"/>
    </row>
    <row r="102" spans="1:25">
      <c r="A102" s="1113">
        <f t="shared" si="5"/>
        <v>91</v>
      </c>
      <c r="B102" s="468">
        <v>9250</v>
      </c>
      <c r="C102" s="1" t="s">
        <v>967</v>
      </c>
      <c r="D102" s="520">
        <f>VLOOKUP($B102,'[12]Div 9 forecast'!$D$437:$AF$517,18,FALSE)</f>
        <v>17883.824587989151</v>
      </c>
      <c r="E102" s="520">
        <f>VLOOKUP($B102,'[12]Div 9 forecast'!$D$437:$AF$517,19,FALSE)</f>
        <v>17863.526823443746</v>
      </c>
      <c r="F102" s="520">
        <f>VLOOKUP($B102,'[12]Div 9 forecast'!$D$437:$AF$517,20,FALSE)</f>
        <v>17875.294011001133</v>
      </c>
      <c r="G102" s="520">
        <f>VLOOKUP($B102,'[12]Div 9 forecast'!$D$437:$AF$517,21,FALSE)</f>
        <v>17866.063115161276</v>
      </c>
      <c r="H102" s="520">
        <f>VLOOKUP($B102,'[12]Div 9 forecast'!$D$437:$AF$517,22,FALSE)</f>
        <v>17721.496971626784</v>
      </c>
      <c r="I102" s="520">
        <f>VLOOKUP($B102,'[12]Div 9 forecast'!$D$437:$AF$517,23,FALSE)</f>
        <v>17754.923547787432</v>
      </c>
      <c r="J102" s="520">
        <f>VLOOKUP($B102,'[12]Div 9 forecast'!$D$437:$AF$517,24,FALSE)</f>
        <v>17793.911377920143</v>
      </c>
      <c r="K102" s="520">
        <f>VLOOKUP($B102,'[12]Div 9 forecast'!$D$437:$AF$517,25,FALSE)</f>
        <v>17692.274816028887</v>
      </c>
      <c r="L102" s="520">
        <f>VLOOKUP($B102,'[12]Div 9 forecast'!$D$437:$AF$517,26,FALSE)</f>
        <v>17584.392046939836</v>
      </c>
      <c r="M102" s="520">
        <f>VLOOKUP($B102,'[12]Div 9 forecast'!$D$437:$AF$517,27,FALSE)</f>
        <v>18143.763163513468</v>
      </c>
      <c r="N102" s="520">
        <f>VLOOKUP($B102,'[12]Div 9 forecast'!$D$437:$AF$517,28,FALSE)</f>
        <v>18142.728232620233</v>
      </c>
      <c r="O102" s="520">
        <f>VLOOKUP($B102,'[12]Div 9 forecast'!$D$437:$AF$517,29,FALSE)</f>
        <v>18146.743311854563</v>
      </c>
      <c r="P102" s="107">
        <f t="shared" si="7"/>
        <v>214468.94200588667</v>
      </c>
      <c r="Q102" s="1"/>
      <c r="R102" s="209"/>
      <c r="S102" s="1"/>
      <c r="Y102" s="933"/>
    </row>
    <row r="103" spans="1:25">
      <c r="A103" s="1113">
        <f t="shared" si="5"/>
        <v>92</v>
      </c>
      <c r="B103" s="468">
        <v>9260</v>
      </c>
      <c r="C103" s="1" t="s">
        <v>968</v>
      </c>
      <c r="D103" s="520">
        <f>VLOOKUP($B103,'[12]Div 9 forecast'!$D$437:$AF$517,18,FALSE)</f>
        <v>161470.44406617677</v>
      </c>
      <c r="E103" s="520">
        <f>VLOOKUP($B103,'[12]Div 9 forecast'!$D$437:$AF$517,19,FALSE)</f>
        <v>154646.44383749049</v>
      </c>
      <c r="F103" s="520">
        <f>VLOOKUP($B103,'[12]Div 9 forecast'!$D$437:$AF$517,20,FALSE)</f>
        <v>167602.18647844606</v>
      </c>
      <c r="G103" s="520">
        <f>VLOOKUP($B103,'[12]Div 9 forecast'!$D$437:$AF$517,21,FALSE)</f>
        <v>161376.11666293329</v>
      </c>
      <c r="H103" s="520">
        <f>VLOOKUP($B103,'[12]Div 9 forecast'!$D$437:$AF$517,22,FALSE)</f>
        <v>196555.77653682866</v>
      </c>
      <c r="I103" s="520">
        <f>VLOOKUP($B103,'[12]Div 9 forecast'!$D$437:$AF$517,23,FALSE)</f>
        <v>189839.70837787975</v>
      </c>
      <c r="J103" s="520">
        <f>VLOOKUP($B103,'[12]Div 9 forecast'!$D$437:$AF$517,24,FALSE)</f>
        <v>205946.06858549675</v>
      </c>
      <c r="K103" s="520">
        <f>VLOOKUP($B103,'[12]Div 9 forecast'!$D$437:$AF$517,25,FALSE)</f>
        <v>188338.35420527452</v>
      </c>
      <c r="L103" s="520">
        <f>VLOOKUP($B103,'[12]Div 9 forecast'!$D$437:$AF$517,26,FALSE)</f>
        <v>185448.82307264872</v>
      </c>
      <c r="M103" s="520">
        <f>VLOOKUP($B103,'[12]Div 9 forecast'!$D$437:$AF$517,27,FALSE)</f>
        <v>199588.37384353636</v>
      </c>
      <c r="N103" s="520">
        <f>VLOOKUP($B103,'[12]Div 9 forecast'!$D$437:$AF$517,28,FALSE)</f>
        <v>184515.05221163377</v>
      </c>
      <c r="O103" s="520">
        <f>VLOOKUP($B103,'[12]Div 9 forecast'!$D$437:$AF$517,29,FALSE)</f>
        <v>192271.32735049695</v>
      </c>
      <c r="P103" s="107">
        <f t="shared" si="7"/>
        <v>2187598.6752288421</v>
      </c>
      <c r="Q103" s="1"/>
      <c r="R103" s="209"/>
      <c r="S103" s="1"/>
      <c r="Y103" s="933"/>
    </row>
    <row r="104" spans="1:25">
      <c r="A104" s="1113">
        <f t="shared" si="5"/>
        <v>93</v>
      </c>
      <c r="B104" s="468">
        <v>9270</v>
      </c>
      <c r="C104" s="1" t="s">
        <v>969</v>
      </c>
      <c r="D104" s="520">
        <f>VLOOKUP($B104,'[12]Div 9 forecast'!$D$437:$AF$517,18,FALSE)</f>
        <v>6.8781297713498875</v>
      </c>
      <c r="E104" s="520">
        <f>VLOOKUP($B104,'[12]Div 9 forecast'!$D$437:$AF$517,19,FALSE)</f>
        <v>6.8781297713498875</v>
      </c>
      <c r="F104" s="520">
        <f>VLOOKUP($B104,'[12]Div 9 forecast'!$D$437:$AF$517,20,FALSE)</f>
        <v>6.8781297713498875</v>
      </c>
      <c r="G104" s="520">
        <f>VLOOKUP($B104,'[12]Div 9 forecast'!$D$437:$AF$517,21,FALSE)</f>
        <v>6.9382007737197551</v>
      </c>
      <c r="H104" s="520">
        <f>VLOOKUP($B104,'[12]Div 9 forecast'!$D$437:$AF$517,22,FALSE)</f>
        <v>6.8781297713498875</v>
      </c>
      <c r="I104" s="520">
        <f>VLOOKUP($B104,'[12]Div 9 forecast'!$D$437:$AF$517,23,FALSE)</f>
        <v>6.8781297713498875</v>
      </c>
      <c r="J104" s="520">
        <f>VLOOKUP($B104,'[12]Div 9 forecast'!$D$437:$AF$517,24,FALSE)</f>
        <v>6.8781297713498875</v>
      </c>
      <c r="K104" s="520">
        <f>VLOOKUP($B104,'[12]Div 9 forecast'!$D$437:$AF$517,25,FALSE)</f>
        <v>6.8781297713498875</v>
      </c>
      <c r="L104" s="520">
        <f>VLOOKUP($B104,'[12]Div 9 forecast'!$D$437:$AF$517,26,FALSE)</f>
        <v>6.8781297713498875</v>
      </c>
      <c r="M104" s="520">
        <f>VLOOKUP($B104,'[12]Div 9 forecast'!$D$437:$AF$517,27,FALSE)</f>
        <v>6.8781297713498875</v>
      </c>
      <c r="N104" s="520">
        <f>VLOOKUP($B104,'[12]Div 9 forecast'!$D$437:$AF$517,28,FALSE)</f>
        <v>6.8781297713498875</v>
      </c>
      <c r="O104" s="520">
        <f>VLOOKUP($B104,'[12]Div 9 forecast'!$D$437:$AF$517,29,FALSE)</f>
        <v>6.8781297713498875</v>
      </c>
      <c r="P104" s="107">
        <f t="shared" si="7"/>
        <v>82.597628258568534</v>
      </c>
      <c r="Q104" s="1"/>
      <c r="R104" s="209"/>
      <c r="S104" s="1"/>
      <c r="Y104" s="933"/>
    </row>
    <row r="105" spans="1:25">
      <c r="A105" s="1113">
        <f t="shared" si="5"/>
        <v>94</v>
      </c>
      <c r="B105" s="468">
        <v>9280</v>
      </c>
      <c r="C105" s="1" t="s">
        <v>970</v>
      </c>
      <c r="D105" s="520">
        <f>VLOOKUP($B105,'[12]Div 9 forecast'!$D$437:$AF$517,18,FALSE)</f>
        <v>929.43537915714057</v>
      </c>
      <c r="E105" s="520">
        <f>VLOOKUP($B105,'[12]Div 9 forecast'!$D$437:$AF$517,19,FALSE)</f>
        <v>929.43537915714057</v>
      </c>
      <c r="F105" s="520">
        <f>VLOOKUP($B105,'[12]Div 9 forecast'!$D$437:$AF$517,20,FALSE)</f>
        <v>929.43537915714057</v>
      </c>
      <c r="G105" s="520">
        <f>VLOOKUP($B105,'[12]Div 9 forecast'!$D$437:$AF$517,21,FALSE)</f>
        <v>929.33027619157951</v>
      </c>
      <c r="H105" s="520">
        <f>VLOOKUP($B105,'[12]Div 9 forecast'!$D$437:$AF$517,22,FALSE)</f>
        <v>911.73725018665618</v>
      </c>
      <c r="I105" s="520">
        <f>VLOOKUP($B105,'[12]Div 9 forecast'!$D$437:$AF$517,23,FALSE)</f>
        <v>911.73725018665618</v>
      </c>
      <c r="J105" s="520">
        <f>VLOOKUP($B105,'[12]Div 9 forecast'!$D$437:$AF$517,24,FALSE)</f>
        <v>911.73725018665618</v>
      </c>
      <c r="K105" s="520">
        <f>VLOOKUP($B105,'[12]Div 9 forecast'!$D$437:$AF$517,25,FALSE)</f>
        <v>911.73725018665618</v>
      </c>
      <c r="L105" s="520">
        <f>VLOOKUP($B105,'[12]Div 9 forecast'!$D$437:$AF$517,26,FALSE)</f>
        <v>911.73725018665618</v>
      </c>
      <c r="M105" s="520">
        <f>VLOOKUP($B105,'[12]Div 9 forecast'!$D$437:$AF$517,27,FALSE)</f>
        <v>943.20216374564802</v>
      </c>
      <c r="N105" s="520">
        <f>VLOOKUP($B105,'[12]Div 9 forecast'!$D$437:$AF$517,28,FALSE)</f>
        <v>943.20216374564802</v>
      </c>
      <c r="O105" s="520">
        <f>VLOOKUP($B105,'[12]Div 9 forecast'!$D$437:$AF$517,29,FALSE)</f>
        <v>943.19744424458918</v>
      </c>
      <c r="P105" s="107">
        <f t="shared" si="7"/>
        <v>11105.924436332165</v>
      </c>
      <c r="Q105" s="1"/>
      <c r="R105" s="209"/>
      <c r="S105" s="1"/>
      <c r="Y105" s="933"/>
    </row>
    <row r="106" spans="1:25">
      <c r="A106" s="1113">
        <f t="shared" si="5"/>
        <v>95</v>
      </c>
      <c r="B106" s="468">
        <v>9302</v>
      </c>
      <c r="C106" s="1" t="s">
        <v>875</v>
      </c>
      <c r="D106" s="520">
        <f>VLOOKUP($B106,'[12]Div 9 forecast'!$D$437:$AF$517,18,FALSE)</f>
        <v>869.94716653117905</v>
      </c>
      <c r="E106" s="520">
        <f>VLOOKUP($B106,'[12]Div 9 forecast'!$D$437:$AF$517,19,FALSE)</f>
        <v>927.5575217594303</v>
      </c>
      <c r="F106" s="520">
        <f>VLOOKUP($B106,'[12]Div 9 forecast'!$D$437:$AF$517,20,FALSE)</f>
        <v>1261.1585263505492</v>
      </c>
      <c r="G106" s="520">
        <f>VLOOKUP($B106,'[12]Div 9 forecast'!$D$437:$AF$517,21,FALSE)</f>
        <v>6168.3104621632456</v>
      </c>
      <c r="H106" s="520">
        <f>VLOOKUP($B106,'[12]Div 9 forecast'!$D$437:$AF$517,22,FALSE)</f>
        <v>809.18469804998574</v>
      </c>
      <c r="I106" s="520">
        <f>VLOOKUP($B106,'[12]Div 9 forecast'!$D$437:$AF$517,23,FALSE)</f>
        <v>4083.3953419365744</v>
      </c>
      <c r="J106" s="520">
        <f>VLOOKUP($B106,'[12]Div 9 forecast'!$D$437:$AF$517,24,FALSE)</f>
        <v>1065.6613466830836</v>
      </c>
      <c r="K106" s="520">
        <f>VLOOKUP($B106,'[12]Div 9 forecast'!$D$437:$AF$517,25,FALSE)</f>
        <v>6016.8319710824844</v>
      </c>
      <c r="L106" s="520">
        <f>VLOOKUP($B106,'[12]Div 9 forecast'!$D$437:$AF$517,26,FALSE)</f>
        <v>1563.643480575729</v>
      </c>
      <c r="M106" s="520">
        <f>VLOOKUP($B106,'[12]Div 9 forecast'!$D$437:$AF$517,27,FALSE)</f>
        <v>934.92910160829513</v>
      </c>
      <c r="N106" s="520">
        <f>VLOOKUP($B106,'[12]Div 9 forecast'!$D$437:$AF$517,28,FALSE)</f>
        <v>6292.9479262996174</v>
      </c>
      <c r="O106" s="520">
        <f>VLOOKUP($B106,'[12]Div 9 forecast'!$D$437:$AF$517,29,FALSE)</f>
        <v>756.91569130588334</v>
      </c>
      <c r="P106" s="107">
        <f t="shared" si="7"/>
        <v>30750.483234346058</v>
      </c>
      <c r="Q106" s="1"/>
      <c r="R106" s="47"/>
      <c r="S106" s="1"/>
      <c r="Y106" s="933"/>
    </row>
    <row r="107" spans="1:25" s="1058" customFormat="1">
      <c r="A107" s="1113">
        <f t="shared" si="5"/>
        <v>96</v>
      </c>
      <c r="B107" s="1061">
        <v>9310</v>
      </c>
      <c r="C107" s="119" t="s">
        <v>189</v>
      </c>
      <c r="D107" s="520">
        <f>VLOOKUP($B107,'[12]Div 9 forecast'!$D$437:$AF$517,18,FALSE)</f>
        <v>1024.8668661461077</v>
      </c>
      <c r="E107" s="520">
        <f>VLOOKUP($B107,'[12]Div 9 forecast'!$D$437:$AF$517,19,FALSE)</f>
        <v>1025.0424780817561</v>
      </c>
      <c r="F107" s="520">
        <f>VLOOKUP($B107,'[12]Div 9 forecast'!$D$437:$AF$517,20,FALSE)</f>
        <v>987.43957236102642</v>
      </c>
      <c r="G107" s="520">
        <f>VLOOKUP($B107,'[12]Div 9 forecast'!$D$437:$AF$517,21,FALSE)</f>
        <v>1084.7426336651336</v>
      </c>
      <c r="H107" s="520">
        <f>VLOOKUP($B107,'[12]Div 9 forecast'!$D$437:$AF$517,22,FALSE)</f>
        <v>1020.7838886422805</v>
      </c>
      <c r="I107" s="520">
        <f>VLOOKUP($B107,'[12]Div 9 forecast'!$D$437:$AF$517,23,FALSE)</f>
        <v>1002.3665868911468</v>
      </c>
      <c r="J107" s="520">
        <f>VLOOKUP($B107,'[12]Div 9 forecast'!$D$437:$AF$517,24,FALSE)</f>
        <v>1071.0308537297005</v>
      </c>
      <c r="K107" s="520">
        <f>VLOOKUP($B107,'[12]Div 9 forecast'!$D$437:$AF$517,25,FALSE)</f>
        <v>1038.5426456347327</v>
      </c>
      <c r="L107" s="520">
        <f>VLOOKUP($B107,'[12]Div 9 forecast'!$D$437:$AF$517,26,FALSE)</f>
        <v>1072.7430701022731</v>
      </c>
      <c r="M107" s="520">
        <f>VLOOKUP($B107,'[12]Div 9 forecast'!$D$437:$AF$517,27,FALSE)</f>
        <v>990.11765437966562</v>
      </c>
      <c r="N107" s="520">
        <f>VLOOKUP($B107,'[12]Div 9 forecast'!$D$437:$AF$517,28,FALSE)</f>
        <v>1038.2353247473477</v>
      </c>
      <c r="O107" s="520">
        <f>VLOOKUP($B107,'[12]Div 9 forecast'!$D$437:$AF$517,29,FALSE)</f>
        <v>1043.4158768489779</v>
      </c>
      <c r="P107" s="107">
        <f t="shared" si="7"/>
        <v>12399.327451230149</v>
      </c>
      <c r="Q107" s="1"/>
      <c r="R107" s="47"/>
      <c r="S107" s="1"/>
      <c r="Y107" s="933"/>
    </row>
    <row r="108" spans="1:25">
      <c r="A108" s="1113">
        <f t="shared" si="5"/>
        <v>97</v>
      </c>
      <c r="B108" s="396">
        <v>9320</v>
      </c>
      <c r="C108" s="1058" t="s">
        <v>190</v>
      </c>
      <c r="D108" s="520">
        <f>VLOOKUP($B108,'[12]Div 9 forecast'!$D$437:$AF$517,18,FALSE)</f>
        <v>40.715303594366155</v>
      </c>
      <c r="E108" s="520">
        <f>VLOOKUP($B108,'[12]Div 9 forecast'!$D$437:$AF$517,19,FALSE)</f>
        <v>42.835892323239392</v>
      </c>
      <c r="F108" s="520">
        <f>VLOOKUP($B108,'[12]Div 9 forecast'!$D$437:$AF$517,20,FALSE)</f>
        <v>59.539606618363969</v>
      </c>
      <c r="G108" s="520">
        <f>VLOOKUP($B108,'[12]Div 9 forecast'!$D$437:$AF$517,21,FALSE)</f>
        <v>295.08807773320666</v>
      </c>
      <c r="H108" s="520">
        <f>VLOOKUP($B108,'[12]Div 9 forecast'!$D$437:$AF$517,22,FALSE)</f>
        <v>36.14788171679303</v>
      </c>
      <c r="I108" s="520">
        <f>VLOOKUP($B108,'[12]Div 9 forecast'!$D$437:$AF$517,23,FALSE)</f>
        <v>195.51828080211249</v>
      </c>
      <c r="J108" s="520">
        <f>VLOOKUP($B108,'[12]Div 9 forecast'!$D$437:$AF$517,24,FALSE)</f>
        <v>50.176391769339062</v>
      </c>
      <c r="K108" s="520">
        <f>VLOOKUP($B108,'[12]Div 9 forecast'!$D$437:$AF$517,25,FALSE)</f>
        <v>286.54047393374833</v>
      </c>
      <c r="L108" s="520">
        <f>VLOOKUP($B108,'[12]Div 9 forecast'!$D$437:$AF$517,26,FALSE)</f>
        <v>73.829112206771327</v>
      </c>
      <c r="M108" s="520">
        <f>VLOOKUP($B108,'[12]Div 9 forecast'!$D$437:$AF$517,27,FALSE)</f>
        <v>42.36610035868901</v>
      </c>
      <c r="N108" s="520">
        <f>VLOOKUP($B108,'[12]Div 9 forecast'!$D$437:$AF$517,28,FALSE)</f>
        <v>301.8935363307906</v>
      </c>
      <c r="O108" s="520">
        <f>VLOOKUP($B108,'[12]Div 9 forecast'!$D$437:$AF$517,29,FALSE)</f>
        <v>33.701048568093142</v>
      </c>
      <c r="P108" s="107">
        <f>SUM(D108:O108)</f>
        <v>1458.3517059555129</v>
      </c>
      <c r="Q108" s="1"/>
      <c r="R108" s="1"/>
      <c r="S108" s="1"/>
      <c r="Y108" s="933"/>
    </row>
    <row r="109" spans="1:25" ht="15.75" thickBot="1">
      <c r="A109" s="1113">
        <f t="shared" si="5"/>
        <v>98</v>
      </c>
      <c r="B109" s="1"/>
      <c r="C109" s="1" t="s">
        <v>751</v>
      </c>
      <c r="D109" s="154">
        <f t="shared" ref="D109:O109" si="9">SUM(D14:D108)</f>
        <v>-1559863.7220737503</v>
      </c>
      <c r="E109" s="154">
        <f t="shared" si="9"/>
        <v>-1158560.3243546817</v>
      </c>
      <c r="F109" s="154">
        <f t="shared" si="9"/>
        <v>-1411395.2455530555</v>
      </c>
      <c r="G109" s="154">
        <f t="shared" si="9"/>
        <v>-1283478.6332178789</v>
      </c>
      <c r="H109" s="154">
        <f t="shared" si="9"/>
        <v>-1757705.4076617945</v>
      </c>
      <c r="I109" s="154">
        <f t="shared" si="9"/>
        <v>-3126381.0092069698</v>
      </c>
      <c r="J109" s="154">
        <f t="shared" si="9"/>
        <v>-4539061.2146388292</v>
      </c>
      <c r="K109" s="154">
        <f t="shared" si="9"/>
        <v>-5393851.6198320193</v>
      </c>
      <c r="L109" s="154">
        <f t="shared" si="9"/>
        <v>-4954745.1185498852</v>
      </c>
      <c r="M109" s="154">
        <f t="shared" si="9"/>
        <v>-5047312.0040698154</v>
      </c>
      <c r="N109" s="154">
        <f t="shared" si="9"/>
        <v>-3029758.5285394019</v>
      </c>
      <c r="O109" s="154">
        <f t="shared" si="9"/>
        <v>-1768394.0466550612</v>
      </c>
      <c r="P109" s="154">
        <f>SUM(P12:P108)</f>
        <v>-23878759.450208627</v>
      </c>
      <c r="Q109" s="472"/>
      <c r="R109" s="1"/>
      <c r="S109" s="1"/>
      <c r="Y109" s="933"/>
    </row>
    <row r="110" spans="1:25" ht="15.75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7"/>
      <c r="P110" s="1"/>
      <c r="Q110" s="1"/>
      <c r="R110" s="1"/>
      <c r="S110" s="1"/>
    </row>
    <row r="111" spans="1:25">
      <c r="A111" s="1"/>
      <c r="B111" s="1"/>
      <c r="C111" s="1" t="s">
        <v>202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07"/>
      <c r="P111" s="1"/>
      <c r="Q111" s="1"/>
      <c r="R111" s="1"/>
      <c r="S111" s="1"/>
    </row>
    <row r="112" spans="1:25">
      <c r="A112" s="1"/>
      <c r="B112" s="1"/>
      <c r="C112" s="291" t="s">
        <v>1236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07"/>
      <c r="P112" s="1"/>
      <c r="Q112" s="1"/>
      <c r="R112" s="1"/>
      <c r="S112" s="1"/>
    </row>
    <row r="113" spans="1:1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19"/>
      <c r="Q113" s="1"/>
      <c r="R113" s="1"/>
      <c r="S113" s="1"/>
    </row>
    <row r="114" spans="1:19">
      <c r="A114" s="1"/>
      <c r="B114" s="1"/>
      <c r="C114" s="1"/>
      <c r="P114" s="119"/>
      <c r="Q114" s="1"/>
      <c r="R114" s="1"/>
      <c r="S114" s="1"/>
    </row>
    <row r="115" spans="1:19">
      <c r="A115" s="1"/>
      <c r="B115" s="1" t="s">
        <v>972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 t="s">
        <v>1594</v>
      </c>
      <c r="C116" s="1"/>
      <c r="D116" s="68"/>
      <c r="E116" s="68"/>
      <c r="F116" s="68"/>
      <c r="G116" s="1"/>
      <c r="H116" s="1"/>
      <c r="I116" s="1"/>
      <c r="J116" s="1"/>
      <c r="K116" s="1"/>
      <c r="L116" s="1"/>
      <c r="M116" s="1"/>
      <c r="N116" s="1"/>
      <c r="O116" s="107"/>
      <c r="P116" s="107"/>
      <c r="Q116" s="107"/>
      <c r="R116" s="1"/>
      <c r="S116" s="1"/>
    </row>
    <row r="117" spans="1:19">
      <c r="A117" s="1"/>
      <c r="B117" s="1" t="s">
        <v>1596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07"/>
      <c r="Q117" s="1"/>
      <c r="R117" s="1"/>
      <c r="S117" s="1"/>
    </row>
    <row r="118" spans="1:19">
      <c r="A118" s="1"/>
      <c r="B118" s="1" t="s">
        <v>1445</v>
      </c>
      <c r="C118" s="1"/>
      <c r="E118" s="1058"/>
      <c r="F118" s="1058"/>
      <c r="G118" s="1058"/>
      <c r="H118" s="1058"/>
      <c r="I118" s="1058"/>
      <c r="J118" s="1058"/>
      <c r="K118" s="1058"/>
      <c r="L118" s="1058"/>
      <c r="M118" s="1058"/>
      <c r="N118" s="1058"/>
      <c r="O118" s="1058"/>
      <c r="P118" s="106"/>
      <c r="Q118" s="1"/>
      <c r="R118" s="1"/>
      <c r="S118" s="1"/>
    </row>
    <row r="119" spans="1:19">
      <c r="A119" s="1"/>
      <c r="B119" s="1"/>
      <c r="C119" s="1"/>
      <c r="E119" s="1058"/>
      <c r="F119" s="1058"/>
      <c r="G119" s="1058"/>
      <c r="H119" s="1058"/>
      <c r="I119" s="1058"/>
      <c r="J119" s="1058"/>
      <c r="K119" s="1058"/>
      <c r="L119" s="1058"/>
      <c r="M119" s="1058"/>
      <c r="N119" s="1058"/>
      <c r="O119" s="1058"/>
      <c r="P119" s="107"/>
      <c r="Q119" s="1"/>
      <c r="R119" s="1"/>
      <c r="S119" s="1"/>
    </row>
    <row r="120" spans="1:1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7"/>
      <c r="Q120" s="119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33"/>
      <c r="P121" s="107"/>
      <c r="Q121" s="119"/>
      <c r="R121" s="1"/>
      <c r="S121" s="1"/>
    </row>
    <row r="122" spans="1:1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33"/>
      <c r="P122" s="581"/>
      <c r="Q122" s="1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07"/>
      <c r="P123" s="107"/>
      <c r="Q123" s="107"/>
      <c r="R123" s="1"/>
      <c r="S123" s="1"/>
    </row>
    <row r="124" spans="1:19">
      <c r="P124" s="890"/>
      <c r="Q124" s="106"/>
    </row>
    <row r="125" spans="1:19">
      <c r="P125" s="978"/>
      <c r="Q125" s="106"/>
    </row>
    <row r="126" spans="1:19">
      <c r="C126" s="927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</row>
    <row r="127" spans="1:19"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0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H24" sqref="H24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4" width="12.5546875" bestFit="1" customWidth="1"/>
    <col min="5" max="5" width="11.88671875" bestFit="1" customWidth="1"/>
    <col min="6" max="6" width="11.109375" customWidth="1"/>
    <col min="7" max="8" width="11.88671875" bestFit="1" customWidth="1"/>
    <col min="9" max="9" width="11.109375" customWidth="1"/>
    <col min="10" max="10" width="13.109375" bestFit="1" customWidth="1"/>
    <col min="11" max="14" width="11.77734375" bestFit="1" customWidth="1"/>
    <col min="15" max="15" width="12.44140625" customWidth="1"/>
    <col min="16" max="16" width="12.44140625" bestFit="1" customWidth="1"/>
    <col min="17" max="17" width="9.6640625" customWidth="1"/>
    <col min="18" max="18" width="12.55468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191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8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8" ht="15.75">
      <c r="A6" s="4" t="str">
        <f>'C.2.1 F'!A6</f>
        <v>Data:________Base Period___X____Forecasted Period</v>
      </c>
      <c r="B6" s="79"/>
      <c r="C6" s="4"/>
      <c r="D6" s="1"/>
      <c r="E6" s="1"/>
      <c r="F6" s="772"/>
      <c r="G6" s="1"/>
      <c r="H6" s="1"/>
      <c r="I6" s="1"/>
      <c r="J6" s="1"/>
      <c r="K6" s="1"/>
      <c r="L6" s="1"/>
      <c r="M6" s="1"/>
      <c r="N6" s="79"/>
      <c r="O6" s="107"/>
      <c r="P6" s="233" t="s">
        <v>1524</v>
      </c>
      <c r="Q6" s="1"/>
    </row>
    <row r="7" spans="1:18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3" t="s">
        <v>38</v>
      </c>
      <c r="Q7" s="1"/>
    </row>
    <row r="8" spans="1:18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108"/>
      <c r="P8" s="674" t="str">
        <f>C.1!J9</f>
        <v>Witness: Waller, Smith</v>
      </c>
      <c r="Q8" s="1"/>
    </row>
    <row r="9" spans="1:18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8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1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1"/>
    </row>
    <row r="12" spans="1:18">
      <c r="A12" s="77">
        <v>1</v>
      </c>
      <c r="B12" s="468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33" si="0">SUM(D12:O12)</f>
        <v>0</v>
      </c>
      <c r="Q12" s="1"/>
    </row>
    <row r="13" spans="1:18">
      <c r="A13" s="77">
        <f>A12+1</f>
        <v>2</v>
      </c>
      <c r="B13" s="468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8">
      <c r="A14" s="1065">
        <f t="shared" ref="A14:A38" si="1">A13+1</f>
        <v>3</v>
      </c>
      <c r="B14" s="468">
        <v>8560</v>
      </c>
      <c r="C14" s="1" t="s">
        <v>928</v>
      </c>
      <c r="D14" s="782">
        <f>VLOOKUP($B14, '[12]Div 2 forecast'!$D$251:$AF327,18,FALSE)</f>
        <v>132.16457106038354</v>
      </c>
      <c r="E14" s="782">
        <f>VLOOKUP($B14, '[12]Div 2 forecast'!$D$251:$AF327,19,FALSE)</f>
        <v>128.57804441938214</v>
      </c>
      <c r="F14" s="782">
        <f>VLOOKUP($B14, '[12]Div 2 forecast'!$D$251:$AF327,20,FALSE)</f>
        <v>122.57113133721124</v>
      </c>
      <c r="G14" s="782">
        <f>VLOOKUP($B14, '[12]Div 2 forecast'!$D$251:$AF327,21,FALSE)</f>
        <v>148.16642130940477</v>
      </c>
      <c r="H14" s="782">
        <f>VLOOKUP($B14, '[12]Div 2 forecast'!$D$251:$AF327,22,FALSE)</f>
        <v>122.70147244400397</v>
      </c>
      <c r="I14" s="782">
        <f>VLOOKUP($B14, '[12]Div 2 forecast'!$D$251:$AF327,23,FALSE)</f>
        <v>122.27621174934953</v>
      </c>
      <c r="J14" s="782">
        <f>VLOOKUP($B14, '[12]Div 2 forecast'!$D$251:$AF327,24,FALSE)</f>
        <v>122.33347139157158</v>
      </c>
      <c r="K14" s="782">
        <f>VLOOKUP($B14, '[12]Div 2 forecast'!$D$251:$AF327,25,FALSE)</f>
        <v>122.66882089441779</v>
      </c>
      <c r="L14" s="782">
        <f>VLOOKUP($B14, '[12]Div 2 forecast'!$D$251:$AF327,26,FALSE)</f>
        <v>120.45679908069604</v>
      </c>
      <c r="M14" s="782">
        <f>VLOOKUP($B14, '[12]Div 2 forecast'!$D$251:$AF327,27,FALSE)</f>
        <v>128.61576091915487</v>
      </c>
      <c r="N14" s="782">
        <f>VLOOKUP($B14, '[12]Div 2 forecast'!$D$251:$AF327,28,FALSE)</f>
        <v>125.86613119083087</v>
      </c>
      <c r="O14" s="782">
        <f>VLOOKUP($B14, '[12]Div 2 forecast'!$D$251:$AF327,29,FALSE)</f>
        <v>131.17019475910803</v>
      </c>
      <c r="P14" s="1">
        <f t="shared" si="0"/>
        <v>1527.569030555514</v>
      </c>
      <c r="Q14" s="1"/>
      <c r="R14" s="1060"/>
    </row>
    <row r="15" spans="1:18">
      <c r="A15" s="1065">
        <f t="shared" si="1"/>
        <v>4</v>
      </c>
      <c r="B15" s="468">
        <v>8700</v>
      </c>
      <c r="C15" s="1" t="s">
        <v>932</v>
      </c>
      <c r="D15" s="782">
        <f>VLOOKUP($B15, '[12]Div 2 forecast'!$D$251:$AF328,18,FALSE)</f>
        <v>7216.8906544269248</v>
      </c>
      <c r="E15" s="782">
        <f>VLOOKUP($B15, '[12]Div 2 forecast'!$D$251:$AF328,19,FALSE)</f>
        <v>7055.8635746763384</v>
      </c>
      <c r="F15" s="782">
        <f>VLOOKUP($B15, '[12]Div 2 forecast'!$D$251:$AF328,20,FALSE)</f>
        <v>6750.4674277749673</v>
      </c>
      <c r="G15" s="782">
        <f>VLOOKUP($B15, '[12]Div 2 forecast'!$D$251:$AF328,21,FALSE)</f>
        <v>8021.6034841347855</v>
      </c>
      <c r="H15" s="782">
        <f>VLOOKUP($B15, '[12]Div 2 forecast'!$D$251:$AF328,22,FALSE)</f>
        <v>6767.7717112449045</v>
      </c>
      <c r="I15" s="782">
        <f>VLOOKUP($B15, '[12]Div 2 forecast'!$D$251:$AF328,23,FALSE)</f>
        <v>6716.7369224319154</v>
      </c>
      <c r="J15" s="782">
        <f>VLOOKUP($B15, '[12]Div 2 forecast'!$D$251:$AF328,24,FALSE)</f>
        <v>6770.8514004229164</v>
      </c>
      <c r="K15" s="782">
        <f>VLOOKUP($B15, '[12]Div 2 forecast'!$D$251:$AF328,25,FALSE)</f>
        <v>6730.0784682785779</v>
      </c>
      <c r="L15" s="782">
        <f>VLOOKUP($B15, '[12]Div 2 forecast'!$D$251:$AF328,26,FALSE)</f>
        <v>6615.5659499841831</v>
      </c>
      <c r="M15" s="782">
        <f>VLOOKUP($B15, '[12]Div 2 forecast'!$D$251:$AF328,27,FALSE)</f>
        <v>7095.454075983901</v>
      </c>
      <c r="N15" s="782">
        <f>VLOOKUP($B15, '[12]Div 2 forecast'!$D$251:$AF328,28,FALSE)</f>
        <v>6893.9913049190009</v>
      </c>
      <c r="O15" s="782">
        <f>VLOOKUP($B15, '[12]Div 2 forecast'!$D$251:$AF328,29,FALSE)</f>
        <v>7182.37116115547</v>
      </c>
      <c r="P15" s="1">
        <f t="shared" si="0"/>
        <v>83817.646135433897</v>
      </c>
      <c r="Q15" s="1"/>
      <c r="R15" s="1060"/>
    </row>
    <row r="16" spans="1:18">
      <c r="A16" s="1065">
        <f t="shared" si="1"/>
        <v>5</v>
      </c>
      <c r="B16" s="468">
        <v>8740</v>
      </c>
      <c r="C16" s="1" t="s">
        <v>934</v>
      </c>
      <c r="D16" s="782">
        <f>VLOOKUP($B16, '[12]Div 2 forecast'!$D$251:$AF329,18,FALSE)</f>
        <v>9675.9005190454009</v>
      </c>
      <c r="E16" s="782">
        <f>VLOOKUP($B16, '[12]Div 2 forecast'!$D$251:$AF329,19,FALSE)</f>
        <v>9675.9005190454009</v>
      </c>
      <c r="F16" s="782">
        <f>VLOOKUP($B16, '[12]Div 2 forecast'!$D$251:$AF329,20,FALSE)</f>
        <v>11379.85411929994</v>
      </c>
      <c r="G16" s="782">
        <f>VLOOKUP($B16, '[12]Div 2 forecast'!$D$251:$AF329,21,FALSE)</f>
        <v>9686.12424064693</v>
      </c>
      <c r="H16" s="782">
        <f>VLOOKUP($B16, '[12]Div 2 forecast'!$D$251:$AF329,22,FALSE)</f>
        <v>15469.342759910836</v>
      </c>
      <c r="I16" s="782">
        <f>VLOOKUP($B16, '[12]Div 2 forecast'!$D$251:$AF329,23,FALSE)</f>
        <v>10016.69123909631</v>
      </c>
      <c r="J16" s="782">
        <f>VLOOKUP($B16, '[12]Div 2 forecast'!$D$251:$AF329,24,FALSE)</f>
        <v>9675.9005190454009</v>
      </c>
      <c r="K16" s="782">
        <f>VLOOKUP($B16, '[12]Div 2 forecast'!$D$251:$AF329,25,FALSE)</f>
        <v>9846.2958790708544</v>
      </c>
      <c r="L16" s="782">
        <f>VLOOKUP($B16, '[12]Div 2 forecast'!$D$251:$AF329,26,FALSE)</f>
        <v>9675.9005190454009</v>
      </c>
      <c r="M16" s="782">
        <f>VLOOKUP($B16, '[12]Div 2 forecast'!$D$251:$AF329,27,FALSE)</f>
        <v>11919.155433780505</v>
      </c>
      <c r="N16" s="782">
        <f>VLOOKUP($B16, '[12]Div 2 forecast'!$D$251:$AF329,28,FALSE)</f>
        <v>9965.5726310886748</v>
      </c>
      <c r="O16" s="782">
        <f>VLOOKUP($B16, '[12]Div 2 forecast'!$D$251:$AF329,29,FALSE)</f>
        <v>9675.9005190454009</v>
      </c>
      <c r="P16" s="1">
        <f t="shared" si="0"/>
        <v>126662.53889812106</v>
      </c>
      <c r="Q16" s="1"/>
    </row>
    <row r="17" spans="1:18" s="1058" customFormat="1">
      <c r="A17" s="1065">
        <f t="shared" si="1"/>
        <v>6</v>
      </c>
      <c r="B17" s="400">
        <v>8780</v>
      </c>
      <c r="C17" s="204" t="s">
        <v>938</v>
      </c>
      <c r="D17" s="782">
        <f>VLOOKUP($B17, '[12]Div 2 forecast'!$D$251:$AF330,18,FALSE)</f>
        <v>-191.26525189209588</v>
      </c>
      <c r="E17" s="782">
        <f>VLOOKUP($B17, '[12]Div 2 forecast'!$D$251:$AF330,19,FALSE)</f>
        <v>-182.5836009721601</v>
      </c>
      <c r="F17" s="782">
        <f>VLOOKUP($B17, '[12]Div 2 forecast'!$D$251:$AF330,20,FALSE)</f>
        <v>-199.94690012243532</v>
      </c>
      <c r="G17" s="782">
        <f>VLOOKUP($B17, '[12]Div 2 forecast'!$D$251:$AF330,21,FALSE)</f>
        <v>-191.26525189209588</v>
      </c>
      <c r="H17" s="782">
        <f>VLOOKUP($B17, '[12]Div 2 forecast'!$D$251:$AF330,22,FALSE)</f>
        <v>-197.00320944885877</v>
      </c>
      <c r="I17" s="782">
        <f>VLOOKUP($B17, '[12]Div 2 forecast'!$D$251:$AF330,23,FALSE)</f>
        <v>-188.06110900132489</v>
      </c>
      <c r="J17" s="782">
        <f>VLOOKUP($B17, '[12]Div 2 forecast'!$D$251:$AF330,24,FALSE)</f>
        <v>-205.94530712610836</v>
      </c>
      <c r="K17" s="782">
        <f>VLOOKUP($B17, '[12]Div 2 forecast'!$D$251:$AF330,25,FALSE)</f>
        <v>-188.06110900132489</v>
      </c>
      <c r="L17" s="782">
        <f>VLOOKUP($B17, '[12]Div 2 forecast'!$D$251:$AF330,26,FALSE)</f>
        <v>-188.06110900132489</v>
      </c>
      <c r="M17" s="782">
        <f>VLOOKUP($B17, '[12]Div 2 forecast'!$D$251:$AF330,27,FALSE)</f>
        <v>-205.94530712610836</v>
      </c>
      <c r="N17" s="782">
        <f>VLOOKUP($B17, '[12]Div 2 forecast'!$D$251:$AF330,28,FALSE)</f>
        <v>-188.06110900132489</v>
      </c>
      <c r="O17" s="782">
        <f>VLOOKUP($B17, '[12]Div 2 forecast'!$D$251:$AF330,29,FALSE)</f>
        <v>-197.00320944885877</v>
      </c>
      <c r="P17" s="1">
        <f t="shared" si="0"/>
        <v>-2323.2024740340212</v>
      </c>
      <c r="Q17" s="1"/>
    </row>
    <row r="18" spans="1:18">
      <c r="A18" s="1065">
        <f t="shared" si="1"/>
        <v>7</v>
      </c>
      <c r="B18" s="468">
        <v>8800</v>
      </c>
      <c r="C18" s="1" t="s">
        <v>940</v>
      </c>
      <c r="D18" s="782">
        <f>VLOOKUP($B18, '[12]Div 2 forecast'!$D$251:$AF331,18,FALSE)</f>
        <v>126.84081980758423</v>
      </c>
      <c r="E18" s="782">
        <f>VLOOKUP($B18, '[12]Div 2 forecast'!$D$251:$AF331,19,FALSE)</f>
        <v>127.45403196283867</v>
      </c>
      <c r="F18" s="782">
        <f>VLOOKUP($B18, '[12]Div 2 forecast'!$D$251:$AF331,20,FALSE)</f>
        <v>128.51904954129412</v>
      </c>
      <c r="G18" s="782">
        <f>VLOOKUP($B18, '[12]Div 2 forecast'!$D$251:$AF331,21,FALSE)</f>
        <v>126.50642477748072</v>
      </c>
      <c r="H18" s="782">
        <f>VLOOKUP($B18, '[12]Div 2 forecast'!$D$251:$AF331,22,FALSE)</f>
        <v>128.00565495706439</v>
      </c>
      <c r="I18" s="782">
        <f>VLOOKUP($B18, '[12]Div 2 forecast'!$D$251:$AF331,23,FALSE)</f>
        <v>126.77645120510485</v>
      </c>
      <c r="J18" s="782">
        <f>VLOOKUP($B18, '[12]Div 2 forecast'!$D$251:$AF331,24,FALSE)</f>
        <v>127.27927466961505</v>
      </c>
      <c r="K18" s="782">
        <f>VLOOKUP($B18, '[12]Div 2 forecast'!$D$251:$AF331,25,FALSE)</f>
        <v>127.52789267664555</v>
      </c>
      <c r="L18" s="782">
        <f>VLOOKUP($B18, '[12]Div 2 forecast'!$D$251:$AF331,26,FALSE)</f>
        <v>127.46308027125565</v>
      </c>
      <c r="M18" s="782">
        <f>VLOOKUP($B18, '[12]Div 2 forecast'!$D$251:$AF331,27,FALSE)</f>
        <v>126.75908171286471</v>
      </c>
      <c r="N18" s="782">
        <f>VLOOKUP($B18, '[12]Div 2 forecast'!$D$251:$AF331,28,FALSE)</f>
        <v>127.59860156496104</v>
      </c>
      <c r="O18" s="782">
        <f>VLOOKUP($B18, '[12]Div 2 forecast'!$D$251:$AF331,29,FALSE)</f>
        <v>127.33107697061385</v>
      </c>
      <c r="P18" s="1">
        <f t="shared" si="0"/>
        <v>1528.0614401173227</v>
      </c>
      <c r="Q18" s="1"/>
    </row>
    <row r="19" spans="1:18">
      <c r="A19" s="1065">
        <f t="shared" si="1"/>
        <v>8</v>
      </c>
      <c r="B19" s="468">
        <v>9010</v>
      </c>
      <c r="C19" s="1" t="s">
        <v>186</v>
      </c>
      <c r="D19" s="782">
        <f>VLOOKUP($B19, '[12]Div 2 forecast'!$D$251:$AF332,18,FALSE)</f>
        <v>1818.0497803416488</v>
      </c>
      <c r="E19" s="782">
        <f>VLOOKUP($B19, '[12]Div 2 forecast'!$D$251:$AF332,19,FALSE)</f>
        <v>1818.024815922169</v>
      </c>
      <c r="F19" s="782">
        <f>VLOOKUP($B19, '[12]Div 2 forecast'!$D$251:$AF332,20,FALSE)</f>
        <v>1822.2808904361641</v>
      </c>
      <c r="G19" s="782">
        <f>VLOOKUP($B19, '[12]Div 2 forecast'!$D$251:$AF332,21,FALSE)</f>
        <v>1842.9624528821466</v>
      </c>
      <c r="H19" s="782">
        <f>VLOOKUP($B19, '[12]Div 2 forecast'!$D$251:$AF332,22,FALSE)</f>
        <v>1816.0056321022</v>
      </c>
      <c r="I19" s="782">
        <f>VLOOKUP($B19, '[12]Div 2 forecast'!$D$251:$AF332,23,FALSE)</f>
        <v>1798.6389711831266</v>
      </c>
      <c r="J19" s="782">
        <f>VLOOKUP($B19, '[12]Div 2 forecast'!$D$251:$AF332,24,FALSE)</f>
        <v>1806.4707035416932</v>
      </c>
      <c r="K19" s="782">
        <f>VLOOKUP($B19, '[12]Div 2 forecast'!$D$251:$AF332,25,FALSE)</f>
        <v>1806.890193833412</v>
      </c>
      <c r="L19" s="782">
        <f>VLOOKUP($B19, '[12]Div 2 forecast'!$D$251:$AF332,26,FALSE)</f>
        <v>1803.8278839385414</v>
      </c>
      <c r="M19" s="782">
        <f>VLOOKUP($B19, '[12]Div 2 forecast'!$D$251:$AF332,27,FALSE)</f>
        <v>1811.3668513518169</v>
      </c>
      <c r="N19" s="782">
        <f>VLOOKUP($B19, '[12]Div 2 forecast'!$D$251:$AF332,28,FALSE)</f>
        <v>1815.5866514246984</v>
      </c>
      <c r="O19" s="782">
        <f>VLOOKUP($B19, '[12]Div 2 forecast'!$D$251:$AF332,29,FALSE)</f>
        <v>1822.557889472728</v>
      </c>
      <c r="P19" s="1">
        <f t="shared" si="0"/>
        <v>21782.66271643035</v>
      </c>
      <c r="Q19" s="1"/>
    </row>
    <row r="20" spans="1:18">
      <c r="A20" s="1065">
        <f t="shared" si="1"/>
        <v>9</v>
      </c>
      <c r="B20" s="468">
        <v>9030</v>
      </c>
      <c r="C20" s="1" t="s">
        <v>956</v>
      </c>
      <c r="D20" s="782">
        <f>VLOOKUP($B20, '[12]Div 2 forecast'!$D$251:$AF333,18,FALSE)</f>
        <v>4211.7229458956299</v>
      </c>
      <c r="E20" s="782">
        <f>VLOOKUP($B20, '[12]Div 2 forecast'!$D$251:$AF333,19,FALSE)</f>
        <v>4020.5501739151878</v>
      </c>
      <c r="F20" s="782">
        <f>VLOOKUP($B20, '[12]Div 2 forecast'!$D$251:$AF333,20,FALSE)</f>
        <v>4402.8956586502864</v>
      </c>
      <c r="G20" s="782">
        <f>VLOOKUP($B20, '[12]Div 2 forecast'!$D$251:$AF333,21,FALSE)</f>
        <v>4211.7229458956299</v>
      </c>
      <c r="H20" s="782">
        <f>VLOOKUP($B20, '[12]Div 2 forecast'!$D$251:$AF333,22,FALSE)</f>
        <v>4338.0746342724988</v>
      </c>
      <c r="I20" s="782">
        <f>VLOOKUP($B20, '[12]Div 2 forecast'!$D$251:$AF333,23,FALSE)</f>
        <v>4141.1666791326425</v>
      </c>
      <c r="J20" s="782">
        <f>VLOOKUP($B20, '[12]Div 2 forecast'!$D$251:$AF333,24,FALSE)</f>
        <v>4534.9825284097951</v>
      </c>
      <c r="K20" s="782">
        <f>VLOOKUP($B20, '[12]Div 2 forecast'!$D$251:$AF333,25,FALSE)</f>
        <v>4141.1666791326425</v>
      </c>
      <c r="L20" s="782">
        <f>VLOOKUP($B20, '[12]Div 2 forecast'!$D$251:$AF333,26,FALSE)</f>
        <v>4141.1666791326425</v>
      </c>
      <c r="M20" s="782">
        <f>VLOOKUP($B20, '[12]Div 2 forecast'!$D$251:$AF333,27,FALSE)</f>
        <v>4534.9825284097951</v>
      </c>
      <c r="N20" s="782">
        <f>VLOOKUP($B20, '[12]Div 2 forecast'!$D$251:$AF333,28,FALSE)</f>
        <v>4141.1666791326425</v>
      </c>
      <c r="O20" s="782">
        <f>VLOOKUP($B20, '[12]Div 2 forecast'!$D$251:$AF333,29,FALSE)</f>
        <v>4338.0746342724988</v>
      </c>
      <c r="P20" s="1">
        <f t="shared" si="0"/>
        <v>51157.67276625189</v>
      </c>
      <c r="Q20" s="1"/>
    </row>
    <row r="21" spans="1:18">
      <c r="A21" s="1065">
        <f t="shared" si="1"/>
        <v>10</v>
      </c>
      <c r="B21" s="468">
        <v>9100</v>
      </c>
      <c r="C21" s="1" t="s">
        <v>959</v>
      </c>
      <c r="D21" s="782">
        <f>VLOOKUP($B21, '[12]Div 2 forecast'!$D$251:$AF334,18,FALSE)</f>
        <v>99.49532016433615</v>
      </c>
      <c r="E21" s="782">
        <f>VLOOKUP($B21, '[12]Div 2 forecast'!$D$251:$AF334,19,FALSE)</f>
        <v>99.977539127534172</v>
      </c>
      <c r="F21" s="782">
        <f>VLOOKUP($B21, '[12]Div 2 forecast'!$D$251:$AF334,20,FALSE)</f>
        <v>100.82474587741339</v>
      </c>
      <c r="G21" s="782">
        <f>VLOOKUP($B21, '[12]Div 2 forecast'!$D$251:$AF334,21,FALSE)</f>
        <v>99.217349333420003</v>
      </c>
      <c r="H21" s="782">
        <f>VLOOKUP($B21, '[12]Div 2 forecast'!$D$251:$AF334,22,FALSE)</f>
        <v>100.42954386998044</v>
      </c>
      <c r="I21" s="782">
        <f>VLOOKUP($B21, '[12]Div 2 forecast'!$D$251:$AF334,23,FALSE)</f>
        <v>99.43368315400258</v>
      </c>
      <c r="J21" s="782">
        <f>VLOOKUP($B21, '[12]Div 2 forecast'!$D$251:$AF334,24,FALSE)</f>
        <v>99.796253803023646</v>
      </c>
      <c r="K21" s="782">
        <f>VLOOKUP($B21, '[12]Div 2 forecast'!$D$251:$AF334,25,FALSE)</f>
        <v>99.915902117200588</v>
      </c>
      <c r="L21" s="782">
        <f>VLOOKUP($B21, '[12]Div 2 forecast'!$D$251:$AF334,26,FALSE)</f>
        <v>99.978747696364238</v>
      </c>
      <c r="M21" s="782">
        <f>VLOOKUP($B21, '[12]Div 2 forecast'!$D$251:$AF334,27,FALSE)</f>
        <v>99.374463281329128</v>
      </c>
      <c r="N21" s="782">
        <f>VLOOKUP($B21, '[12]Div 2 forecast'!$D$251:$AF334,28,FALSE)</f>
        <v>100.09839601054119</v>
      </c>
      <c r="O21" s="782">
        <f>VLOOKUP($B21, '[12]Div 2 forecast'!$D$251:$AF334,29,FALSE)</f>
        <v>99.857890813357216</v>
      </c>
      <c r="P21" s="1">
        <f t="shared" si="0"/>
        <v>1198.3998352485028</v>
      </c>
      <c r="Q21" s="1"/>
    </row>
    <row r="22" spans="1:18">
      <c r="A22" s="1065">
        <f t="shared" si="1"/>
        <v>11</v>
      </c>
      <c r="B22" s="468">
        <v>9120</v>
      </c>
      <c r="C22" s="130" t="s">
        <v>1246</v>
      </c>
      <c r="D22" s="782">
        <f>VLOOKUP($B22, '[12]Div 2 forecast'!$D$251:$AF335,18,FALSE)</f>
        <v>372.2828968525655</v>
      </c>
      <c r="E22" s="782">
        <f>VLOOKUP($B22, '[12]Div 2 forecast'!$D$251:$AF335,19,FALSE)</f>
        <v>448.60254793405056</v>
      </c>
      <c r="F22" s="782">
        <f>VLOOKUP($B22, '[12]Div 2 forecast'!$D$251:$AF335,20,FALSE)</f>
        <v>372.2828968525655</v>
      </c>
      <c r="G22" s="782">
        <f>VLOOKUP($B22, '[12]Div 2 forecast'!$D$251:$AF335,21,FALSE)</f>
        <v>419.17369047702994</v>
      </c>
      <c r="H22" s="782">
        <f>VLOOKUP($B22, '[12]Div 2 forecast'!$D$251:$AF335,22,FALSE)</f>
        <v>485.23598045316345</v>
      </c>
      <c r="I22" s="782">
        <f>VLOOKUP($B22, '[12]Div 2 forecast'!$D$251:$AF335,23,FALSE)</f>
        <v>408.91632937167833</v>
      </c>
      <c r="J22" s="782">
        <f>VLOOKUP($B22, '[12]Div 2 forecast'!$D$251:$AF335,24,FALSE)</f>
        <v>372.2828968525655</v>
      </c>
      <c r="K22" s="782">
        <f>VLOOKUP($B22, '[12]Div 2 forecast'!$D$251:$AF335,25,FALSE)</f>
        <v>469.53593794497226</v>
      </c>
      <c r="L22" s="782">
        <f>VLOOKUP($B22, '[12]Div 2 forecast'!$D$251:$AF335,26,FALSE)</f>
        <v>372.2828968525655</v>
      </c>
      <c r="M22" s="782">
        <f>VLOOKUP($B22, '[12]Div 2 forecast'!$D$251:$AF335,27,FALSE)</f>
        <v>419.38302437713912</v>
      </c>
      <c r="N22" s="782">
        <f>VLOOKUP($B22, '[12]Div 2 forecast'!$D$251:$AF335,28,FALSE)</f>
        <v>448.60254793405056</v>
      </c>
      <c r="O22" s="782">
        <f>VLOOKUP($B22, '[12]Div 2 forecast'!$D$251:$AF335,29,FALSE)</f>
        <v>372.2828968525655</v>
      </c>
      <c r="P22" s="1">
        <f t="shared" si="0"/>
        <v>4960.8645427549118</v>
      </c>
      <c r="Q22" s="1"/>
    </row>
    <row r="23" spans="1:18">
      <c r="A23" s="1065">
        <f t="shared" si="1"/>
        <v>12</v>
      </c>
      <c r="B23" s="468">
        <v>9200</v>
      </c>
      <c r="C23" s="107" t="s">
        <v>187</v>
      </c>
      <c r="D23" s="782">
        <f>VLOOKUP($B23, '[12]Div 2 forecast'!$D$251:$AF336,18,FALSE)</f>
        <v>-1563167.9948953441</v>
      </c>
      <c r="E23" s="782">
        <f>VLOOKUP($B23, '[12]Div 2 forecast'!$D$251:$AF336,19,FALSE)</f>
        <v>-1418855.495537546</v>
      </c>
      <c r="F23" s="782">
        <f>VLOOKUP($B23, '[12]Div 2 forecast'!$D$251:$AF336,20,FALSE)</f>
        <v>-1502303.3326061424</v>
      </c>
      <c r="G23" s="782">
        <f>VLOOKUP($B23, '[12]Div 2 forecast'!$D$251:$AF336,21,FALSE)</f>
        <v>-1381389.4047113564</v>
      </c>
      <c r="H23" s="782">
        <f>VLOOKUP($B23, '[12]Div 2 forecast'!$D$251:$AF336,22,FALSE)</f>
        <v>-1113131.415870429</v>
      </c>
      <c r="I23" s="782">
        <f>VLOOKUP($B23, '[12]Div 2 forecast'!$D$251:$AF336,23,FALSE)</f>
        <v>-1604202.8337430083</v>
      </c>
      <c r="J23" s="782">
        <f>VLOOKUP($B23, '[12]Div 2 forecast'!$D$251:$AF336,24,FALSE)</f>
        <v>-1072153.9599500997</v>
      </c>
      <c r="K23" s="782">
        <f>VLOOKUP($B23, '[12]Div 2 forecast'!$D$251:$AF336,25,FALSE)</f>
        <v>-2153521.2836347488</v>
      </c>
      <c r="L23" s="782">
        <f>VLOOKUP($B23, '[12]Div 2 forecast'!$D$251:$AF336,26,FALSE)</f>
        <v>-2615834.8709771438</v>
      </c>
      <c r="M23" s="782">
        <f>VLOOKUP($B23, '[12]Div 2 forecast'!$D$251:$AF336,27,FALSE)</f>
        <v>-1727269.2672888995</v>
      </c>
      <c r="N23" s="782">
        <f>VLOOKUP($B23, '[12]Div 2 forecast'!$D$251:$AF336,28,FALSE)</f>
        <v>-1578855.6242461004</v>
      </c>
      <c r="O23" s="782">
        <f>VLOOKUP($B23, '[12]Div 2 forecast'!$D$251:$AF336,29,FALSE)</f>
        <v>-1513394.6791848508</v>
      </c>
      <c r="P23" s="1">
        <f t="shared" si="0"/>
        <v>-19244080.162645668</v>
      </c>
      <c r="Q23" s="1"/>
    </row>
    <row r="24" spans="1:18">
      <c r="A24" s="1065">
        <f t="shared" si="1"/>
        <v>13</v>
      </c>
      <c r="B24" s="468">
        <v>9210</v>
      </c>
      <c r="C24" s="107" t="s">
        <v>963</v>
      </c>
      <c r="D24" s="782">
        <f>VLOOKUP($B24, '[12]Div 2 forecast'!$D$251:$AF337,18,FALSE)</f>
        <v>2086488.3420470534</v>
      </c>
      <c r="E24" s="782">
        <f>VLOOKUP($B24, '[12]Div 2 forecast'!$D$251:$AF337,19,FALSE)</f>
        <v>2231429.8846325148</v>
      </c>
      <c r="F24" s="782">
        <f>VLOOKUP($B24, '[12]Div 2 forecast'!$D$251:$AF337,20,FALSE)</f>
        <v>2018341.3572829941</v>
      </c>
      <c r="G24" s="782">
        <f>VLOOKUP($B24, '[12]Div 2 forecast'!$D$251:$AF337,21,FALSE)</f>
        <v>2105913.7120127808</v>
      </c>
      <c r="H24" s="782">
        <f>VLOOKUP($B24, '[12]Div 2 forecast'!$D$251:$AF337,22,FALSE)</f>
        <v>2380748.2612314536</v>
      </c>
      <c r="I24" s="782">
        <f>VLOOKUP($B24, '[12]Div 2 forecast'!$D$251:$AF337,23,FALSE)</f>
        <v>2078660.7962752618</v>
      </c>
      <c r="J24" s="782">
        <f>VLOOKUP($B24, '[12]Div 2 forecast'!$D$251:$AF337,24,FALSE)</f>
        <v>2124420.4122857205</v>
      </c>
      <c r="K24" s="782">
        <f>VLOOKUP($B24, '[12]Div 2 forecast'!$D$251:$AF337,25,FALSE)</f>
        <v>2078153.2489235678</v>
      </c>
      <c r="L24" s="782">
        <f>VLOOKUP($B24, '[12]Div 2 forecast'!$D$251:$AF337,26,FALSE)</f>
        <v>2006137.509979483</v>
      </c>
      <c r="M24" s="782">
        <f>VLOOKUP($B24, '[12]Div 2 forecast'!$D$251:$AF337,27,FALSE)</f>
        <v>2112071.8700334895</v>
      </c>
      <c r="N24" s="782">
        <f>VLOOKUP($B24, '[12]Div 2 forecast'!$D$251:$AF337,28,FALSE)</f>
        <v>2132957.8868935467</v>
      </c>
      <c r="O24" s="782">
        <f>VLOOKUP($B24, '[12]Div 2 forecast'!$D$251:$AF337,29,FALSE)</f>
        <v>2115903.5512137339</v>
      </c>
      <c r="P24" s="1">
        <f t="shared" si="0"/>
        <v>25471226.832811601</v>
      </c>
      <c r="Q24" s="1"/>
    </row>
    <row r="25" spans="1:18">
      <c r="A25" s="1065">
        <f t="shared" si="1"/>
        <v>14</v>
      </c>
      <c r="B25" s="468">
        <v>9220</v>
      </c>
      <c r="C25" s="107" t="s">
        <v>964</v>
      </c>
      <c r="D25" s="123">
        <f t="shared" ref="D25:O25" si="2">-(SUM(D12:D24,D26:D33))</f>
        <v>-7486804.9486666713</v>
      </c>
      <c r="E25" s="123">
        <f t="shared" si="2"/>
        <v>-9963320.678666668</v>
      </c>
      <c r="F25" s="123">
        <f t="shared" si="2"/>
        <v>-6079583.1486666678</v>
      </c>
      <c r="G25" s="123">
        <f t="shared" si="2"/>
        <v>-6442296.2500000028</v>
      </c>
      <c r="H25" s="123">
        <f t="shared" si="2"/>
        <v>-8026694.0618209988</v>
      </c>
      <c r="I25" s="123">
        <f t="shared" si="2"/>
        <v>-7554507.1850877581</v>
      </c>
      <c r="J25" s="123">
        <f t="shared" si="2"/>
        <v>-8481619.9679676481</v>
      </c>
      <c r="K25" s="123">
        <f t="shared" si="2"/>
        <v>-7220368.4617544236</v>
      </c>
      <c r="L25" s="123">
        <f t="shared" si="2"/>
        <v>-6483397.5117544243</v>
      </c>
      <c r="M25" s="123">
        <f t="shared" si="2"/>
        <v>-9320613.0846343152</v>
      </c>
      <c r="N25" s="123">
        <f t="shared" si="2"/>
        <v>-7356817.9750877582</v>
      </c>
      <c r="O25" s="123">
        <f t="shared" si="2"/>
        <v>-10168519.701821003</v>
      </c>
      <c r="P25" s="1">
        <f t="shared" si="0"/>
        <v>-94584542.975928336</v>
      </c>
      <c r="Q25" s="1"/>
    </row>
    <row r="26" spans="1:18">
      <c r="A26" s="1065">
        <f t="shared" si="1"/>
        <v>15</v>
      </c>
      <c r="B26" s="468">
        <v>9230</v>
      </c>
      <c r="C26" s="107" t="s">
        <v>965</v>
      </c>
      <c r="D26" s="782">
        <f>VLOOKUP($B26, '[12]Div 2 forecast'!$D$251:$AF339,18,FALSE)</f>
        <v>732163.27547375811</v>
      </c>
      <c r="E26" s="782">
        <f>VLOOKUP($B26, '[12]Div 2 forecast'!$D$251:$AF339,19,FALSE)</f>
        <v>712664.65549175325</v>
      </c>
      <c r="F26" s="782">
        <f>VLOOKUP($B26, '[12]Div 2 forecast'!$D$251:$AF339,20,FALSE)</f>
        <v>709032.69995414885</v>
      </c>
      <c r="G26" s="782">
        <f>VLOOKUP($B26, '[12]Div 2 forecast'!$D$251:$AF339,21,FALSE)</f>
        <v>764731.16092301405</v>
      </c>
      <c r="H26" s="782">
        <f>VLOOKUP($B26, '[12]Div 2 forecast'!$D$251:$AF339,22,FALSE)</f>
        <v>715272.8963810174</v>
      </c>
      <c r="I26" s="782">
        <f>VLOOKUP($B26, '[12]Div 2 forecast'!$D$251:$AF339,23,FALSE)</f>
        <v>720222.0182598806</v>
      </c>
      <c r="J26" s="782">
        <f>VLOOKUP($B26, '[12]Div 2 forecast'!$D$251:$AF339,24,FALSE)</f>
        <v>718597.5701347359</v>
      </c>
      <c r="K26" s="782">
        <f>VLOOKUP($B26, '[12]Div 2 forecast'!$D$251:$AF339,25,FALSE)</f>
        <v>751307.12012409198</v>
      </c>
      <c r="L26" s="782">
        <f>VLOOKUP($B26, '[12]Div 2 forecast'!$D$251:$AF339,26,FALSE)</f>
        <v>725693.5811876629</v>
      </c>
      <c r="M26" s="782">
        <f>VLOOKUP($B26, '[12]Div 2 forecast'!$D$251:$AF339,27,FALSE)</f>
        <v>797086.51095084543</v>
      </c>
      <c r="N26" s="782">
        <f>VLOOKUP($B26, '[12]Div 2 forecast'!$D$251:$AF339,28,FALSE)</f>
        <v>721253.46122361382</v>
      </c>
      <c r="O26" s="782">
        <f>VLOOKUP($B26, '[12]Div 2 forecast'!$D$251:$AF339,29,FALSE)</f>
        <v>704910.787809656</v>
      </c>
      <c r="P26" s="1">
        <f t="shared" si="0"/>
        <v>8772935.7379141785</v>
      </c>
      <c r="Q26" s="1"/>
    </row>
    <row r="27" spans="1:18">
      <c r="A27" s="1065">
        <f t="shared" si="1"/>
        <v>16</v>
      </c>
      <c r="B27" s="468">
        <v>9240</v>
      </c>
      <c r="C27" s="107" t="s">
        <v>966</v>
      </c>
      <c r="D27" s="782">
        <f>VLOOKUP($B27, '[12]Div 2 forecast'!$D$251:$AF340,18,FALSE)</f>
        <v>14998.105606115321</v>
      </c>
      <c r="E27" s="782">
        <f>VLOOKUP($B27, '[12]Div 2 forecast'!$D$251:$AF340,19,FALSE)</f>
        <v>14998.197054553224</v>
      </c>
      <c r="F27" s="782">
        <f>VLOOKUP($B27, '[12]Div 2 forecast'!$D$251:$AF340,20,FALSE)</f>
        <v>14998.357719603273</v>
      </c>
      <c r="G27" s="782">
        <f>VLOOKUP($B27, '[12]Div 2 forecast'!$D$251:$AF340,21,FALSE)</f>
        <v>14998.052891476931</v>
      </c>
      <c r="H27" s="782">
        <f>VLOOKUP($B27, '[12]Div 2 forecast'!$D$251:$AF340,22,FALSE)</f>
        <v>14784.389220745794</v>
      </c>
      <c r="I27" s="782">
        <f>VLOOKUP($B27, '[12]Div 2 forecast'!$D$251:$AF340,23,FALSE)</f>
        <v>14983.287925004443</v>
      </c>
      <c r="J27" s="782">
        <f>VLOOKUP($B27, '[12]Div 2 forecast'!$D$251:$AF340,24,FALSE)</f>
        <v>14983.35668322843</v>
      </c>
      <c r="K27" s="782">
        <f>VLOOKUP($B27, '[12]Div 2 forecast'!$D$251:$AF340,25,FALSE)</f>
        <v>14983.379373442345</v>
      </c>
      <c r="L27" s="782">
        <f>VLOOKUP($B27, '[12]Div 2 forecast'!$D$251:$AF340,26,FALSE)</f>
        <v>14983.391291534504</v>
      </c>
      <c r="M27" s="782">
        <f>VLOOKUP($B27, '[12]Div 2 forecast'!$D$251:$AF340,27,FALSE)</f>
        <v>14998.091452836521</v>
      </c>
      <c r="N27" s="782">
        <f>VLOOKUP($B27, '[12]Div 2 forecast'!$D$251:$AF340,28,FALSE)</f>
        <v>14998.228740090415</v>
      </c>
      <c r="O27" s="782">
        <f>VLOOKUP($B27, '[12]Div 2 forecast'!$D$251:$AF340,29,FALSE)</f>
        <v>14998.174364339307</v>
      </c>
      <c r="P27" s="1">
        <f t="shared" si="0"/>
        <v>179705.01232297049</v>
      </c>
      <c r="Q27" s="1"/>
    </row>
    <row r="28" spans="1:18">
      <c r="A28" s="1065">
        <f t="shared" si="1"/>
        <v>17</v>
      </c>
      <c r="B28" s="468">
        <v>9250</v>
      </c>
      <c r="C28" s="107" t="s">
        <v>967</v>
      </c>
      <c r="D28" s="782">
        <f>VLOOKUP($B28, '[12]Div 2 forecast'!$D$251:$AF341,18,FALSE)</f>
        <v>1730115.1909082762</v>
      </c>
      <c r="E28" s="782">
        <f>VLOOKUP($B28, '[12]Div 2 forecast'!$D$251:$AF341,19,FALSE)</f>
        <v>1728508.5105059722</v>
      </c>
      <c r="F28" s="782">
        <f>VLOOKUP($B28, '[12]Div 2 forecast'!$D$251:$AF341,20,FALSE)</f>
        <v>1731721.8681503912</v>
      </c>
      <c r="G28" s="782">
        <f>VLOOKUP($B28, '[12]Div 2 forecast'!$D$251:$AF341,21,FALSE)</f>
        <v>1730115.075992306</v>
      </c>
      <c r="H28" s="782">
        <f>VLOOKUP($B28, '[12]Div 2 forecast'!$D$251:$AF341,22,FALSE)</f>
        <v>1708578.7463751642</v>
      </c>
      <c r="I28" s="782">
        <f>VLOOKUP($B28, '[12]Div 2 forecast'!$D$251:$AF341,23,FALSE)</f>
        <v>1729320.522555508</v>
      </c>
      <c r="J28" s="782">
        <f>VLOOKUP($B28, '[12]Div 2 forecast'!$D$251:$AF341,24,FALSE)</f>
        <v>1732860.4464618608</v>
      </c>
      <c r="K28" s="782">
        <f>VLOOKUP($B28, '[12]Div 2 forecast'!$D$251:$AF341,25,FALSE)</f>
        <v>1729320.522555508</v>
      </c>
      <c r="L28" s="782">
        <f>VLOOKUP($B28, '[12]Div 2 forecast'!$D$251:$AF341,26,FALSE)</f>
        <v>1729320.522555508</v>
      </c>
      <c r="M28" s="782">
        <f>VLOOKUP($B28, '[12]Div 2 forecast'!$D$251:$AF341,27,FALSE)</f>
        <v>1734535.6187532174</v>
      </c>
      <c r="N28" s="782">
        <f>VLOOKUP($B28, '[12]Div 2 forecast'!$D$251:$AF341,28,FALSE)</f>
        <v>1730995.6948468643</v>
      </c>
      <c r="O28" s="782">
        <f>VLOOKUP($B28, '[12]Div 2 forecast'!$D$251:$AF341,29,FALSE)</f>
        <v>1732764.6658480023</v>
      </c>
      <c r="P28" s="1">
        <f t="shared" si="0"/>
        <v>20748157.385508578</v>
      </c>
      <c r="Q28" s="1"/>
      <c r="R28" s="1060"/>
    </row>
    <row r="29" spans="1:18">
      <c r="A29" s="1065">
        <f t="shared" si="1"/>
        <v>18</v>
      </c>
      <c r="B29" s="468">
        <v>9260</v>
      </c>
      <c r="C29" s="107" t="s">
        <v>968</v>
      </c>
      <c r="D29" s="782">
        <f>VLOOKUP($B29, '[12]Div 2 forecast'!$D$251:$AF342,18,FALSE)</f>
        <v>3485879.9343476645</v>
      </c>
      <c r="E29" s="782">
        <f>VLOOKUP($B29, '[12]Div 2 forecast'!$D$251:$AF342,19,FALSE)</f>
        <v>5928259.6243314957</v>
      </c>
      <c r="F29" s="782">
        <f>VLOOKUP($B29, '[12]Div 2 forecast'!$D$251:$AF342,20,FALSE)</f>
        <v>2353030.7579612467</v>
      </c>
      <c r="G29" s="782">
        <f>VLOOKUP($B29, '[12]Div 2 forecast'!$D$251:$AF342,21,FALSE)</f>
        <v>2296595.0180259594</v>
      </c>
      <c r="H29" s="782">
        <f>VLOOKUP($B29, '[12]Div 2 forecast'!$D$251:$AF342,22,FALSE)</f>
        <v>3453315.8911714414</v>
      </c>
      <c r="I29" s="782">
        <f>VLOOKUP($B29, '[12]Div 2 forecast'!$D$251:$AF342,23,FALSE)</f>
        <v>3785974.2146605998</v>
      </c>
      <c r="J29" s="782">
        <f>VLOOKUP($B29, '[12]Div 2 forecast'!$D$251:$AF342,24,FALSE)</f>
        <v>3886432.7232955699</v>
      </c>
      <c r="K29" s="782">
        <f>VLOOKUP($B29, '[12]Div 2 forecast'!$D$251:$AF342,25,FALSE)</f>
        <v>3896104.3458581162</v>
      </c>
      <c r="L29" s="782">
        <f>VLOOKUP($B29, '[12]Div 2 forecast'!$D$251:$AF342,26,FALSE)</f>
        <v>3727523.6839183467</v>
      </c>
      <c r="M29" s="782">
        <f>VLOOKUP($B29, '[12]Div 2 forecast'!$D$251:$AF342,27,FALSE)</f>
        <v>3774699.0737242443</v>
      </c>
      <c r="N29" s="782">
        <f>VLOOKUP($B29, '[12]Div 2 forecast'!$D$251:$AF342,28,FALSE)</f>
        <v>3525492.6206097817</v>
      </c>
      <c r="O29" s="782">
        <f>VLOOKUP($B29, '[12]Div 2 forecast'!$D$251:$AF342,29,FALSE)</f>
        <v>6348612.2170442333</v>
      </c>
      <c r="P29" s="1">
        <f t="shared" si="0"/>
        <v>46461920.104948699</v>
      </c>
      <c r="Q29" s="1"/>
    </row>
    <row r="30" spans="1:18">
      <c r="A30" s="1065">
        <f t="shared" si="1"/>
        <v>19</v>
      </c>
      <c r="B30" s="468">
        <v>9301</v>
      </c>
      <c r="C30" s="1" t="s">
        <v>188</v>
      </c>
      <c r="D30" s="782">
        <f>VLOOKUP($B30, '[12]Div 2 forecast'!$D$251:$AF343,18,FALSE)</f>
        <v>7926.284315533243</v>
      </c>
      <c r="E30" s="782">
        <f>VLOOKUP($B30, '[12]Div 2 forecast'!$D$251:$AF343,19,FALSE)</f>
        <v>3548.7936389221204</v>
      </c>
      <c r="F30" s="782">
        <f>VLOOKUP($B30, '[12]Div 2 forecast'!$D$251:$AF343,20,FALSE)</f>
        <v>3489.8730052817768</v>
      </c>
      <c r="G30" s="782">
        <f>VLOOKUP($B30, '[12]Div 2 forecast'!$D$251:$AF343,21,FALSE)</f>
        <v>6268.878131517019</v>
      </c>
      <c r="H30" s="782">
        <f>VLOOKUP($B30, '[12]Div 2 forecast'!$D$251:$AF343,22,FALSE)</f>
        <v>4444.7359990364439</v>
      </c>
      <c r="I30" s="782">
        <f>VLOOKUP($B30, '[12]Div 2 forecast'!$D$251:$AF343,23,FALSE)</f>
        <v>4209.3259088353061</v>
      </c>
      <c r="J30" s="782">
        <f>VLOOKUP($B30, '[12]Div 2 forecast'!$D$251:$AF343,24,FALSE)</f>
        <v>9286.3265618306923</v>
      </c>
      <c r="K30" s="782">
        <f>VLOOKUP($B30, '[12]Div 2 forecast'!$D$251:$AF343,25,FALSE)</f>
        <v>6155.1780185119169</v>
      </c>
      <c r="L30" s="782">
        <f>VLOOKUP($B30, '[12]Div 2 forecast'!$D$251:$AF343,26,FALSE)</f>
        <v>6081.6180412482327</v>
      </c>
      <c r="M30" s="782">
        <f>VLOOKUP($B30, '[12]Div 2 forecast'!$D$251:$AF343,27,FALSE)</f>
        <v>37417.986726004186</v>
      </c>
      <c r="N30" s="782">
        <f>VLOOKUP($B30, '[12]Div 2 forecast'!$D$251:$AF343,28,FALSE)</f>
        <v>4409.4998617792717</v>
      </c>
      <c r="O30" s="782">
        <f>VLOOKUP($B30, '[12]Div 2 forecast'!$D$251:$AF343,29,FALSE)</f>
        <v>3431.7515417647919</v>
      </c>
      <c r="P30" s="1">
        <f t="shared" si="0"/>
        <v>96670.251750265015</v>
      </c>
      <c r="Q30" s="1"/>
    </row>
    <row r="31" spans="1:18">
      <c r="A31" s="1065">
        <f t="shared" si="1"/>
        <v>20</v>
      </c>
      <c r="B31" s="468">
        <v>9302</v>
      </c>
      <c r="C31" s="1" t="s">
        <v>875</v>
      </c>
      <c r="D31" s="782">
        <f>VLOOKUP($B31, '[12]Div 2 forecast'!$D$251:$AF344,18,FALSE)</f>
        <v>467404.43847963848</v>
      </c>
      <c r="E31" s="782">
        <f>VLOOKUP($B31, '[12]Div 2 forecast'!$D$251:$AF344,19,FALSE)</f>
        <v>238435.33769795415</v>
      </c>
      <c r="F31" s="782">
        <f>VLOOKUP($B31, '[12]Div 2 forecast'!$D$251:$AF344,20,FALSE)</f>
        <v>225788.66482440705</v>
      </c>
      <c r="G31" s="782">
        <f>VLOOKUP($B31, '[12]Div 2 forecast'!$D$251:$AF344,21,FALSE)</f>
        <v>378833.93787755026</v>
      </c>
      <c r="H31" s="782">
        <f>VLOOKUP($B31, '[12]Div 2 forecast'!$D$251:$AF344,22,FALSE)</f>
        <v>291416.11199540284</v>
      </c>
      <c r="I31" s="782">
        <f>VLOOKUP($B31, '[12]Div 2 forecast'!$D$251:$AF344,23,FALSE)</f>
        <v>268744.94624794909</v>
      </c>
      <c r="J31" s="782">
        <f>VLOOKUP($B31, '[12]Div 2 forecast'!$D$251:$AF344,24,FALSE)</f>
        <v>540582.17082217766</v>
      </c>
      <c r="K31" s="782">
        <f>VLOOKUP($B31, '[12]Div 2 forecast'!$D$251:$AF344,25,FALSE)</f>
        <v>373503.55196243984</v>
      </c>
      <c r="L31" s="782">
        <f>VLOOKUP($B31, '[12]Div 2 forecast'!$D$251:$AF344,26,FALSE)</f>
        <v>366998.30544584792</v>
      </c>
      <c r="M31" s="782">
        <f>VLOOKUP($B31, '[12]Div 2 forecast'!$D$251:$AF344,27,FALSE)</f>
        <v>2049451.1946149117</v>
      </c>
      <c r="N31" s="782">
        <f>VLOOKUP($B31, '[12]Div 2 forecast'!$D$251:$AF344,28,FALSE)</f>
        <v>278994.80887552002</v>
      </c>
      <c r="O31" s="782">
        <f>VLOOKUP($B31, '[12]Div 2 forecast'!$D$251:$AF344,29,FALSE)</f>
        <v>233687.61260510801</v>
      </c>
      <c r="P31" s="1">
        <f t="shared" si="0"/>
        <v>5713841.081448907</v>
      </c>
      <c r="Q31" s="1"/>
    </row>
    <row r="32" spans="1:18">
      <c r="A32" s="1065">
        <f t="shared" si="1"/>
        <v>21</v>
      </c>
      <c r="B32" s="468">
        <v>9310</v>
      </c>
      <c r="C32" s="1" t="s">
        <v>189</v>
      </c>
      <c r="D32" s="782">
        <f>VLOOKUP($B32, '[12]Div 2 forecast'!$D$251:$AF345,18,FALSE)</f>
        <v>440989.17574833584</v>
      </c>
      <c r="E32" s="782">
        <f>VLOOKUP($B32, '[12]Div 2 forecast'!$D$251:$AF345,19,FALSE)</f>
        <v>440763.81134045339</v>
      </c>
      <c r="F32" s="782">
        <f>VLOOKUP($B32, '[12]Div 2 forecast'!$D$251:$AF345,20,FALSE)</f>
        <v>440738.71351195435</v>
      </c>
      <c r="G32" s="782">
        <f>VLOOKUP($B32, '[12]Div 2 forecast'!$D$251:$AF345,21,FALSE)</f>
        <v>441295.50500772143</v>
      </c>
      <c r="H32" s="782">
        <f>VLOOKUP($B32, '[12]Div 2 forecast'!$D$251:$AF345,22,FALSE)</f>
        <v>472809.36389307916</v>
      </c>
      <c r="I32" s="782">
        <f>VLOOKUP($B32, '[12]Div 2 forecast'!$D$251:$AF345,23,FALSE)</f>
        <v>472415.08858076163</v>
      </c>
      <c r="J32" s="782">
        <f>VLOOKUP($B32, '[12]Div 2 forecast'!$D$251:$AF345,24,FALSE)</f>
        <v>440956.26265308785</v>
      </c>
      <c r="K32" s="782">
        <f>VLOOKUP($B32, '[12]Div 2 forecast'!$D$251:$AF345,25,FALSE)</f>
        <v>441146.69953790621</v>
      </c>
      <c r="L32" s="782">
        <f>VLOOKUP($B32, '[12]Div 2 forecast'!$D$251:$AF345,26,FALSE)</f>
        <v>440844.82376788132</v>
      </c>
      <c r="M32" s="782">
        <f>VLOOKUP($B32, '[12]Div 2 forecast'!$D$251:$AF345,27,FALSE)</f>
        <v>441580.85524831305</v>
      </c>
      <c r="N32" s="782">
        <f>VLOOKUP($B32, '[12]Div 2 forecast'!$D$251:$AF345,28,FALSE)</f>
        <v>440968.12986385718</v>
      </c>
      <c r="O32" s="782">
        <f>VLOOKUP($B32, '[12]Div 2 forecast'!$D$251:$AF345,29,FALSE)</f>
        <v>444791.31283322925</v>
      </c>
      <c r="P32" s="1">
        <f t="shared" si="0"/>
        <v>5359299.7419865811</v>
      </c>
      <c r="Q32" s="1"/>
    </row>
    <row r="33" spans="1:17">
      <c r="A33" s="1065">
        <f t="shared" si="1"/>
        <v>22</v>
      </c>
      <c r="B33" s="468">
        <v>9320</v>
      </c>
      <c r="C33" s="1" t="s">
        <v>190</v>
      </c>
      <c r="D33" s="782">
        <f>VLOOKUP($B33, '[12]Div 2 forecast'!$D$251:$AF346,18,FALSE)</f>
        <v>60546.114379937731</v>
      </c>
      <c r="E33" s="782">
        <f>VLOOKUP($B33, '[12]Div 2 forecast'!$D$251:$AF346,19,FALSE)</f>
        <v>60374.991864564574</v>
      </c>
      <c r="F33" s="782">
        <f>VLOOKUP($B33, '[12]Div 2 forecast'!$D$251:$AF346,20,FALSE)</f>
        <v>59864.439843136322</v>
      </c>
      <c r="G33" s="782">
        <f>VLOOKUP($B33, '[12]Div 2 forecast'!$D$251:$AF346,21,FALSE)</f>
        <v>60570.102091467561</v>
      </c>
      <c r="H33" s="782">
        <f>VLOOKUP($B33, '[12]Div 2 forecast'!$D$251:$AF346,22,FALSE)</f>
        <v>69424.51724428068</v>
      </c>
      <c r="I33" s="782">
        <f>VLOOKUP($B33, '[12]Div 2 forecast'!$D$251:$AF346,23,FALSE)</f>
        <v>60937.243038643341</v>
      </c>
      <c r="J33" s="782">
        <f>VLOOKUP($B33, '[12]Div 2 forecast'!$D$251:$AF346,24,FALSE)</f>
        <v>62350.707278524991</v>
      </c>
      <c r="K33" s="782">
        <f>VLOOKUP($B33, '[12]Div 2 forecast'!$D$251:$AF346,25,FALSE)</f>
        <v>60059.680370641057</v>
      </c>
      <c r="L33" s="782">
        <f>VLOOKUP($B33, '[12]Div 2 forecast'!$D$251:$AF346,26,FALSE)</f>
        <v>58880.365097055837</v>
      </c>
      <c r="M33" s="782">
        <f>VLOOKUP($B33, '[12]Div 2 forecast'!$D$251:$AF346,27,FALSE)</f>
        <v>60112.004506662801</v>
      </c>
      <c r="N33" s="782">
        <f>VLOOKUP($B33, '[12]Div 2 forecast'!$D$251:$AF346,28,FALSE)</f>
        <v>62172.846584541025</v>
      </c>
      <c r="O33" s="782">
        <f>VLOOKUP($B33, '[12]Div 2 forecast'!$D$251:$AF346,29,FALSE)</f>
        <v>59261.764691894386</v>
      </c>
      <c r="P33" s="1">
        <f t="shared" si="0"/>
        <v>734554.77699135034</v>
      </c>
      <c r="Q33" s="1"/>
    </row>
    <row r="34" spans="1:17" ht="15.75" thickBot="1">
      <c r="A34" s="1065">
        <f t="shared" si="1"/>
        <v>23</v>
      </c>
      <c r="B34" s="1" t="s">
        <v>751</v>
      </c>
      <c r="C34" s="1"/>
      <c r="D34" s="154">
        <f t="shared" ref="D34:P34" si="3">SUM(D12:D33)</f>
        <v>1.1350493878126144E-9</v>
      </c>
      <c r="E34" s="154">
        <f t="shared" si="3"/>
        <v>1.0841176845133305E-9</v>
      </c>
      <c r="F34" s="154">
        <f t="shared" si="3"/>
        <v>8.440110832452774E-10</v>
      </c>
      <c r="G34" s="154">
        <f t="shared" si="3"/>
        <v>-6.6938810050487518E-10</v>
      </c>
      <c r="H34" s="154">
        <f t="shared" si="3"/>
        <v>0</v>
      </c>
      <c r="I34" s="154">
        <f t="shared" si="3"/>
        <v>-2.1827872842550278E-10</v>
      </c>
      <c r="J34" s="154">
        <f t="shared" si="3"/>
        <v>-9.3132257461547852E-10</v>
      </c>
      <c r="K34" s="154">
        <f t="shared" si="3"/>
        <v>6.4028427004814148E-10</v>
      </c>
      <c r="L34" s="154">
        <f t="shared" si="3"/>
        <v>1.0186340659856796E-10</v>
      </c>
      <c r="M34" s="154">
        <f t="shared" si="3"/>
        <v>1.964508555829525E-10</v>
      </c>
      <c r="N34" s="154">
        <f t="shared" si="3"/>
        <v>0</v>
      </c>
      <c r="O34" s="154">
        <f t="shared" si="3"/>
        <v>-1.7680577002465725E-9</v>
      </c>
      <c r="P34" s="154">
        <f t="shared" si="3"/>
        <v>1.9324943423271179E-8</v>
      </c>
      <c r="Q34" s="1"/>
    </row>
    <row r="35" spans="1:17" ht="15.75" thickTop="1">
      <c r="A35" s="1065">
        <f t="shared" si="1"/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7"/>
      <c r="P35" s="1"/>
      <c r="Q35" s="1"/>
    </row>
    <row r="36" spans="1:17">
      <c r="A36" s="1065">
        <f t="shared" si="1"/>
        <v>25</v>
      </c>
      <c r="B36" s="468">
        <f t="shared" ref="B36:O36" si="4">B25</f>
        <v>9220</v>
      </c>
      <c r="C36" s="1" t="str">
        <f t="shared" si="4"/>
        <v>A&amp;G-Administrative expense transferred-Credit</v>
      </c>
      <c r="D36" s="1">
        <f t="shared" si="4"/>
        <v>-7486804.9486666713</v>
      </c>
      <c r="E36" s="1">
        <f t="shared" si="4"/>
        <v>-9963320.678666668</v>
      </c>
      <c r="F36" s="1">
        <f t="shared" si="4"/>
        <v>-6079583.1486666678</v>
      </c>
      <c r="G36" s="1">
        <f t="shared" si="4"/>
        <v>-6442296.2500000028</v>
      </c>
      <c r="H36" s="1">
        <f t="shared" si="4"/>
        <v>-8026694.0618209988</v>
      </c>
      <c r="I36" s="1">
        <f t="shared" si="4"/>
        <v>-7554507.1850877581</v>
      </c>
      <c r="J36" s="1">
        <f t="shared" si="4"/>
        <v>-8481619.9679676481</v>
      </c>
      <c r="K36" s="1">
        <f t="shared" si="4"/>
        <v>-7220368.4617544236</v>
      </c>
      <c r="L36" s="1">
        <f t="shared" si="4"/>
        <v>-6483397.5117544243</v>
      </c>
      <c r="M36" s="1">
        <f t="shared" si="4"/>
        <v>-9320613.0846343152</v>
      </c>
      <c r="N36" s="1">
        <f t="shared" si="4"/>
        <v>-7356817.9750877582</v>
      </c>
      <c r="O36" s="1">
        <f t="shared" si="4"/>
        <v>-10168519.701821003</v>
      </c>
      <c r="P36" s="1"/>
      <c r="Q36" s="1"/>
    </row>
    <row r="37" spans="1:17">
      <c r="A37" s="1065">
        <f t="shared" si="1"/>
        <v>26</v>
      </c>
      <c r="B37" s="1"/>
      <c r="C37" s="1" t="s">
        <v>200</v>
      </c>
      <c r="D37" s="215">
        <f>Allocation!$E$14</f>
        <v>5.2575879716356848E-2</v>
      </c>
      <c r="E37" s="215">
        <f>D37</f>
        <v>5.2575879716356848E-2</v>
      </c>
      <c r="F37" s="215">
        <f t="shared" ref="F37:O37" si="5">E37</f>
        <v>5.2575879716356848E-2</v>
      </c>
      <c r="G37" s="215">
        <f t="shared" si="5"/>
        <v>5.2575879716356848E-2</v>
      </c>
      <c r="H37" s="215">
        <f t="shared" si="5"/>
        <v>5.2575879716356848E-2</v>
      </c>
      <c r="I37" s="215">
        <f t="shared" si="5"/>
        <v>5.2575879716356848E-2</v>
      </c>
      <c r="J37" s="215">
        <f t="shared" si="5"/>
        <v>5.2575879716356848E-2</v>
      </c>
      <c r="K37" s="215">
        <f t="shared" si="5"/>
        <v>5.2575879716356848E-2</v>
      </c>
      <c r="L37" s="215">
        <f t="shared" si="5"/>
        <v>5.2575879716356848E-2</v>
      </c>
      <c r="M37" s="215">
        <f t="shared" si="5"/>
        <v>5.2575879716356848E-2</v>
      </c>
      <c r="N37" s="215">
        <f t="shared" si="5"/>
        <v>5.2575879716356848E-2</v>
      </c>
      <c r="O37" s="215">
        <f t="shared" si="5"/>
        <v>5.2575879716356848E-2</v>
      </c>
      <c r="P37" s="47"/>
      <c r="Q37" s="1"/>
    </row>
    <row r="38" spans="1:17">
      <c r="A38" s="1065">
        <f t="shared" si="1"/>
        <v>27</v>
      </c>
      <c r="B38" s="1"/>
      <c r="C38" s="1" t="s">
        <v>215</v>
      </c>
      <c r="D38" s="1">
        <f t="shared" ref="D38:N38" si="6">ROUND(D36*D37,3)</f>
        <v>-393625.35600000003</v>
      </c>
      <c r="E38" s="1">
        <f t="shared" si="6"/>
        <v>-523830.35</v>
      </c>
      <c r="F38" s="1">
        <f t="shared" si="6"/>
        <v>-319639.43199999997</v>
      </c>
      <c r="G38" s="1">
        <f t="shared" si="6"/>
        <v>-338709.39299999998</v>
      </c>
      <c r="H38" s="1">
        <f t="shared" si="6"/>
        <v>-422010.50199999998</v>
      </c>
      <c r="I38" s="1">
        <f t="shared" si="6"/>
        <v>-397184.86099999998</v>
      </c>
      <c r="J38" s="1">
        <f t="shared" si="6"/>
        <v>-445928.63099999999</v>
      </c>
      <c r="K38" s="1">
        <f t="shared" si="6"/>
        <v>-379617.22399999999</v>
      </c>
      <c r="L38" s="1">
        <f t="shared" si="6"/>
        <v>-340870.32799999998</v>
      </c>
      <c r="M38" s="1">
        <f t="shared" si="6"/>
        <v>-490039.43199999997</v>
      </c>
      <c r="N38" s="1">
        <f t="shared" si="6"/>
        <v>-386791.17700000003</v>
      </c>
      <c r="O38" s="1">
        <f>ROUND(O36*O37,3)</f>
        <v>-534618.86899999995</v>
      </c>
      <c r="P38" s="1">
        <f>SUM(D38:O38)</f>
        <v>-4972865.5549999997</v>
      </c>
      <c r="Q38" s="682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578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00"/>
      <c r="P41" s="249"/>
      <c r="Q41" s="1"/>
    </row>
    <row r="42" spans="1:17">
      <c r="A42" s="1"/>
      <c r="B42" s="7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491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47"/>
      <c r="Q43" s="1"/>
    </row>
    <row r="44" spans="1:17">
      <c r="A44" s="1"/>
      <c r="B44" s="1" t="s">
        <v>972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7"/>
      <c r="Q44" s="1"/>
    </row>
    <row r="45" spans="1:17">
      <c r="A45" s="1"/>
      <c r="B45" s="1" t="s">
        <v>1594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7"/>
      <c r="Q45" s="1"/>
    </row>
    <row r="46" spans="1:17">
      <c r="A46" s="1"/>
      <c r="B46" s="1"/>
      <c r="C46" s="1"/>
      <c r="D46" s="394"/>
      <c r="E46" s="394"/>
      <c r="F46" s="394"/>
      <c r="G46" s="394"/>
      <c r="H46" s="394"/>
      <c r="I46" s="394"/>
      <c r="J46" s="394"/>
      <c r="K46" s="68"/>
      <c r="L46" s="68"/>
      <c r="M46" s="68"/>
      <c r="N46" s="68"/>
      <c r="O46" s="68"/>
      <c r="P46" s="68"/>
      <c r="Q46" s="1"/>
    </row>
    <row r="47" spans="1:17">
      <c r="A47" s="1"/>
      <c r="B47" s="1"/>
      <c r="C47" s="1"/>
      <c r="D47" s="68"/>
      <c r="E47" s="68"/>
      <c r="F47" s="68"/>
      <c r="G47" s="68"/>
      <c r="H47" s="68"/>
      <c r="I47" s="68"/>
      <c r="J47" s="68"/>
      <c r="K47" s="1"/>
      <c r="L47" s="1"/>
      <c r="M47" s="1"/>
      <c r="N47" s="1"/>
      <c r="O47" s="68"/>
      <c r="P47" s="68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8"/>
      <c r="P48" s="68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8"/>
      <c r="P49" s="68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8"/>
      <c r="P50" s="68"/>
      <c r="Q50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3"/>
  <sheetViews>
    <sheetView view="pageBreakPreview" zoomScale="70" zoomScaleNormal="90" zoomScaleSheetLayoutView="70" workbookViewId="0">
      <selection activeCell="J24" sqref="J24"/>
    </sheetView>
  </sheetViews>
  <sheetFormatPr defaultColWidth="9.6640625" defaultRowHeight="15"/>
  <cols>
    <col min="1" max="1" width="4.6640625" style="60" customWidth="1"/>
    <col min="2" max="2" width="40" style="60" customWidth="1"/>
    <col min="3" max="3" width="12.6640625" style="60" customWidth="1"/>
    <col min="4" max="4" width="1.77734375" style="60" customWidth="1"/>
    <col min="5" max="5" width="13.109375" style="60" bestFit="1" customWidth="1"/>
    <col min="6" max="6" width="3" style="60" customWidth="1"/>
    <col min="7" max="7" width="13.6640625" style="60" customWidth="1"/>
    <col min="8" max="8" width="3" style="60" customWidth="1"/>
    <col min="9" max="9" width="2.109375" style="60" customWidth="1"/>
    <col min="10" max="10" width="11.77734375" style="60" customWidth="1"/>
    <col min="11" max="11" width="2.21875" style="60" customWidth="1"/>
    <col min="12" max="12" width="12.44140625" style="60" customWidth="1"/>
    <col min="13" max="13" width="5.6640625" style="60" customWidth="1"/>
    <col min="14" max="14" width="11.44140625" style="60" customWidth="1"/>
    <col min="15" max="15" width="1.77734375" style="60" customWidth="1"/>
    <col min="16" max="16" width="12" style="60" customWidth="1"/>
    <col min="17" max="17" width="15.6640625" style="60" customWidth="1"/>
    <col min="18" max="18" width="18.6640625" style="60" customWidth="1"/>
    <col min="19" max="19" width="11.6640625" style="60" customWidth="1"/>
    <col min="20" max="20" width="9.6640625" style="60"/>
    <col min="21" max="21" width="23.6640625" style="60" customWidth="1"/>
    <col min="22" max="22" width="14.6640625" style="60" customWidth="1"/>
    <col min="23" max="23" width="18.6640625" style="60" customWidth="1"/>
    <col min="24" max="24" width="13.6640625" style="60" customWidth="1"/>
    <col min="25" max="25" width="29.6640625" style="60" customWidth="1"/>
    <col min="26" max="26" width="9.6640625" style="60"/>
    <col min="27" max="27" width="14.6640625" style="60" customWidth="1"/>
    <col min="28" max="28" width="13.6640625" style="60" customWidth="1"/>
    <col min="29" max="29" width="11.6640625" style="60" customWidth="1"/>
    <col min="30" max="30" width="9.6640625" style="60"/>
    <col min="31" max="31" width="4.6640625" style="60" customWidth="1"/>
    <col min="32" max="32" width="48.6640625" style="60" customWidth="1"/>
    <col min="33" max="33" width="9.6640625" style="60"/>
    <col min="34" max="37" width="10.6640625" style="60" customWidth="1"/>
    <col min="38" max="39" width="9.6640625" style="60"/>
    <col min="40" max="40" width="4.6640625" style="60" customWidth="1"/>
    <col min="41" max="41" width="50.6640625" style="60" customWidth="1"/>
    <col min="42" max="42" width="9.6640625" style="60"/>
    <col min="43" max="43" width="11.6640625" style="60" customWidth="1"/>
    <col min="44" max="44" width="9.6640625" style="60"/>
    <col min="45" max="46" width="4.6640625" style="60" customWidth="1"/>
    <col min="47" max="47" width="40.6640625" style="60" customWidth="1"/>
    <col min="48" max="48" width="1.6640625" style="60" customWidth="1"/>
    <col min="49" max="52" width="11.6640625" style="60" customWidth="1"/>
    <col min="53" max="54" width="9.6640625" style="60"/>
    <col min="55" max="55" width="4.6640625" style="60" customWidth="1"/>
    <col min="56" max="56" width="30.6640625" style="60" customWidth="1"/>
    <col min="57" max="65" width="9.6640625" style="60"/>
    <col min="66" max="66" width="14.6640625" style="60" customWidth="1"/>
    <col min="67" max="68" width="9.6640625" style="60"/>
    <col min="69" max="69" width="12.6640625" style="60" customWidth="1"/>
    <col min="70" max="70" width="10.6640625" style="60" customWidth="1"/>
    <col min="71" max="16384" width="9.6640625" style="60"/>
  </cols>
  <sheetData>
    <row r="1" spans="1:16" s="1" customFormat="1">
      <c r="A1" s="43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</row>
    <row r="2" spans="1:16" s="1" customFormat="1">
      <c r="A2" s="43" t="str">
        <f>'Table of Contents'!A2:C2</f>
        <v>Kentucky Jurisdiction Case No. 2015-00343</v>
      </c>
      <c r="B2" s="40"/>
      <c r="C2" s="40"/>
      <c r="D2" s="40"/>
      <c r="E2" s="40"/>
      <c r="F2" s="40"/>
      <c r="G2" s="40"/>
      <c r="H2" s="40"/>
    </row>
    <row r="3" spans="1:16" s="1" customFormat="1">
      <c r="A3" s="43" t="s">
        <v>1019</v>
      </c>
      <c r="B3" s="40"/>
      <c r="C3" s="40"/>
      <c r="D3" s="40"/>
      <c r="E3" s="40"/>
      <c r="F3" s="40"/>
      <c r="G3" s="40"/>
      <c r="H3" s="40"/>
    </row>
    <row r="4" spans="1:16" s="1" customFormat="1">
      <c r="A4" s="43" t="str">
        <f>'Table of Contents'!A4:C4</f>
        <v>Forecasted Test Period: Twelve Months Ended May 31, 2017</v>
      </c>
      <c r="B4" s="40"/>
      <c r="C4" s="40"/>
      <c r="D4" s="40"/>
      <c r="E4" s="40"/>
      <c r="F4" s="40"/>
      <c r="G4" s="40"/>
      <c r="H4" s="40"/>
    </row>
    <row r="5" spans="1:16" s="1" customFormat="1">
      <c r="A5" s="43"/>
      <c r="B5" s="40"/>
      <c r="C5" s="40"/>
      <c r="D5" s="40"/>
      <c r="E5" s="40"/>
      <c r="F5" s="40"/>
      <c r="G5" s="40"/>
      <c r="H5" s="40"/>
    </row>
    <row r="6" spans="1:16" s="1" customFormat="1">
      <c r="D6" s="3"/>
      <c r="E6" s="3"/>
      <c r="F6" s="3"/>
    </row>
    <row r="7" spans="1:16" s="1" customFormat="1">
      <c r="A7" s="4" t="s">
        <v>423</v>
      </c>
      <c r="G7" s="491" t="s">
        <v>1499</v>
      </c>
      <c r="H7" s="4"/>
      <c r="I7" s="1021"/>
    </row>
    <row r="8" spans="1:16" s="1" customFormat="1">
      <c r="A8" s="4" t="s">
        <v>631</v>
      </c>
      <c r="G8" s="648" t="s">
        <v>62</v>
      </c>
      <c r="H8" s="4"/>
      <c r="I8" s="1021"/>
    </row>
    <row r="9" spans="1:16" s="1" customFormat="1">
      <c r="A9" s="5" t="s">
        <v>375</v>
      </c>
      <c r="B9" s="6"/>
      <c r="C9" s="6"/>
      <c r="D9" s="7"/>
      <c r="E9" s="7"/>
      <c r="F9" s="7"/>
      <c r="G9" s="726" t="s">
        <v>1216</v>
      </c>
      <c r="H9" s="5"/>
      <c r="I9" s="1022"/>
    </row>
    <row r="10" spans="1:16" s="1" customFormat="1">
      <c r="D10" s="8"/>
      <c r="E10" s="2" t="s">
        <v>45</v>
      </c>
      <c r="F10" s="8"/>
      <c r="G10" s="2" t="s">
        <v>44</v>
      </c>
      <c r="I10" s="1021"/>
    </row>
    <row r="11" spans="1:16" s="1" customFormat="1">
      <c r="C11" s="2" t="s">
        <v>1206</v>
      </c>
      <c r="D11" s="8"/>
      <c r="E11" s="2" t="s">
        <v>102</v>
      </c>
      <c r="F11" s="8"/>
      <c r="G11" s="2" t="s">
        <v>102</v>
      </c>
      <c r="I11" s="1021"/>
    </row>
    <row r="12" spans="1:16" s="1" customFormat="1">
      <c r="A12" s="2" t="s">
        <v>98</v>
      </c>
      <c r="C12" s="2" t="s">
        <v>63</v>
      </c>
      <c r="D12" s="8"/>
      <c r="E12" s="2" t="s">
        <v>611</v>
      </c>
      <c r="F12" s="8"/>
      <c r="G12" s="2" t="s">
        <v>611</v>
      </c>
      <c r="I12" s="1021"/>
      <c r="J12" s="980"/>
      <c r="K12" s="981"/>
      <c r="L12" s="980"/>
      <c r="M12" s="980"/>
      <c r="N12" s="980"/>
      <c r="O12" s="980"/>
      <c r="P12" s="980"/>
    </row>
    <row r="13" spans="1:16" s="1" customFormat="1">
      <c r="A13" s="9" t="s">
        <v>104</v>
      </c>
      <c r="B13" s="9" t="s">
        <v>1004</v>
      </c>
      <c r="C13" s="9" t="s">
        <v>106</v>
      </c>
      <c r="D13" s="7"/>
      <c r="E13" s="9" t="s">
        <v>1010</v>
      </c>
      <c r="F13" s="7"/>
      <c r="G13" s="9" t="s">
        <v>1010</v>
      </c>
      <c r="H13" s="6"/>
      <c r="I13" s="1022"/>
      <c r="J13" s="980"/>
      <c r="K13" s="980"/>
      <c r="L13" s="980"/>
      <c r="M13" s="980"/>
      <c r="N13" s="980"/>
      <c r="O13" s="980"/>
      <c r="P13" s="980"/>
    </row>
    <row r="14" spans="1:16" s="1" customFormat="1">
      <c r="B14" s="616" t="s">
        <v>767</v>
      </c>
      <c r="C14" s="616" t="s">
        <v>768</v>
      </c>
      <c r="D14" s="8"/>
      <c r="E14" s="616" t="s">
        <v>424</v>
      </c>
      <c r="F14" s="8"/>
      <c r="G14" s="616" t="s">
        <v>769</v>
      </c>
      <c r="I14" s="1021"/>
      <c r="J14" s="982"/>
      <c r="K14" s="983"/>
      <c r="L14" s="982"/>
      <c r="M14" s="980"/>
      <c r="N14" s="982"/>
      <c r="O14" s="983"/>
      <c r="P14" s="982"/>
    </row>
    <row r="15" spans="1:16" s="1" customFormat="1">
      <c r="D15" s="8"/>
      <c r="E15" s="8"/>
      <c r="F15" s="8"/>
      <c r="G15" s="10"/>
      <c r="H15" s="10"/>
      <c r="I15" s="1023"/>
      <c r="J15" s="980"/>
      <c r="K15" s="980"/>
      <c r="L15" s="980"/>
      <c r="M15" s="980"/>
      <c r="N15" s="980"/>
      <c r="O15" s="980"/>
      <c r="P15" s="980"/>
    </row>
    <row r="16" spans="1:16" s="1" customFormat="1">
      <c r="A16" s="2">
        <v>1</v>
      </c>
      <c r="B16" s="115" t="s">
        <v>276</v>
      </c>
      <c r="C16" s="1132" t="s">
        <v>377</v>
      </c>
      <c r="D16" s="107"/>
      <c r="E16" s="448">
        <f>'B.1 B'!F27</f>
        <v>295969027.76444441</v>
      </c>
      <c r="F16" s="107"/>
      <c r="G16" s="386">
        <f>'B.1 F '!F27</f>
        <v>335042110.48015654</v>
      </c>
      <c r="H16" s="10"/>
      <c r="I16" s="1022"/>
      <c r="J16" s="980"/>
      <c r="K16" s="980"/>
      <c r="L16" s="980"/>
      <c r="M16" s="980"/>
      <c r="N16" s="980"/>
      <c r="O16" s="980"/>
      <c r="P16" s="980"/>
    </row>
    <row r="17" spans="1:17" s="1" customFormat="1">
      <c r="B17" s="107"/>
      <c r="C17" s="107"/>
      <c r="D17" s="107"/>
      <c r="E17" s="107"/>
      <c r="F17" s="107"/>
      <c r="G17" s="99"/>
      <c r="H17" s="10"/>
      <c r="I17" s="1022"/>
      <c r="J17" s="980"/>
      <c r="K17" s="980"/>
      <c r="L17" s="980"/>
      <c r="M17" s="980"/>
      <c r="N17" s="980"/>
      <c r="O17" s="980"/>
      <c r="P17" s="980"/>
    </row>
    <row r="18" spans="1:17" s="1" customFormat="1">
      <c r="A18" s="2">
        <v>2</v>
      </c>
      <c r="B18" s="115" t="s">
        <v>129</v>
      </c>
      <c r="C18" s="1132" t="s">
        <v>379</v>
      </c>
      <c r="D18" s="107"/>
      <c r="E18" s="386">
        <f>C.1!D26</f>
        <v>22051844.399824917</v>
      </c>
      <c r="F18" s="107"/>
      <c r="G18" s="386">
        <f>C.1!F26</f>
        <v>25255456.495413691</v>
      </c>
      <c r="H18" s="10"/>
      <c r="I18" s="1024"/>
      <c r="J18" s="980"/>
      <c r="K18" s="980"/>
      <c r="L18" s="980"/>
      <c r="M18" s="980"/>
      <c r="N18" s="980"/>
      <c r="O18" s="980"/>
      <c r="P18" s="980"/>
    </row>
    <row r="19" spans="1:17" s="1" customFormat="1">
      <c r="B19" s="107"/>
      <c r="C19" s="107"/>
      <c r="D19" s="107"/>
      <c r="E19" s="107"/>
      <c r="F19" s="107"/>
      <c r="G19" s="99"/>
      <c r="H19" s="10"/>
      <c r="I19" s="1022"/>
      <c r="J19" s="980"/>
      <c r="K19" s="980"/>
      <c r="L19" s="980"/>
      <c r="M19" s="980"/>
      <c r="N19" s="980"/>
      <c r="O19" s="980"/>
      <c r="P19" s="980"/>
    </row>
    <row r="20" spans="1:17" s="1" customFormat="1">
      <c r="A20" s="2">
        <v>3</v>
      </c>
      <c r="B20" s="115" t="s">
        <v>425</v>
      </c>
      <c r="C20" s="1134" t="s">
        <v>147</v>
      </c>
      <c r="D20" s="107"/>
      <c r="E20" s="155">
        <f>ROUND(E18/E16,4)</f>
        <v>7.4499999999999997E-2</v>
      </c>
      <c r="F20" s="107"/>
      <c r="G20" s="155">
        <f>ROUND(G18/G16,4)</f>
        <v>7.5399999999999995E-2</v>
      </c>
      <c r="H20" s="11"/>
      <c r="I20" s="1025"/>
      <c r="J20" s="980"/>
      <c r="K20" s="980"/>
      <c r="L20" s="980"/>
      <c r="M20" s="980"/>
      <c r="N20" s="980"/>
      <c r="O20" s="980"/>
      <c r="P20" s="980"/>
    </row>
    <row r="21" spans="1:17" s="1" customFormat="1">
      <c r="B21" s="107"/>
      <c r="C21" s="107"/>
      <c r="D21" s="107"/>
      <c r="E21" s="107"/>
      <c r="F21" s="107"/>
      <c r="G21" s="99"/>
      <c r="H21" s="10"/>
      <c r="I21" s="1022"/>
      <c r="J21" s="980"/>
      <c r="K21" s="980"/>
      <c r="L21" s="980"/>
      <c r="M21" s="980"/>
      <c r="N21" s="980"/>
      <c r="O21" s="980"/>
      <c r="P21" s="980"/>
    </row>
    <row r="22" spans="1:17" s="1" customFormat="1">
      <c r="A22" s="2">
        <v>4</v>
      </c>
      <c r="B22" s="115" t="s">
        <v>292</v>
      </c>
      <c r="C22" s="1132" t="s">
        <v>1155</v>
      </c>
      <c r="D22" s="107"/>
      <c r="E22" s="1105">
        <f>'J-1 Base'!M27</f>
        <v>7.9899999999999999E-2</v>
      </c>
      <c r="F22" s="107"/>
      <c r="G22" s="155">
        <f>'J-1 F'!M28</f>
        <v>8.1199999999999994E-2</v>
      </c>
      <c r="H22" s="11"/>
      <c r="I22" s="1026"/>
      <c r="J22" s="984"/>
      <c r="K22" s="980"/>
      <c r="L22" s="984"/>
      <c r="M22" s="980"/>
      <c r="N22" s="984"/>
      <c r="O22" s="980"/>
      <c r="P22" s="984"/>
      <c r="Q22" s="771"/>
    </row>
    <row r="23" spans="1:17" s="1" customFormat="1">
      <c r="B23" s="107"/>
      <c r="C23" s="107"/>
      <c r="D23" s="107"/>
      <c r="E23" s="107"/>
      <c r="F23" s="107"/>
      <c r="G23" s="99"/>
      <c r="H23" s="10"/>
      <c r="I23" s="1022"/>
      <c r="J23" s="980"/>
      <c r="K23" s="980"/>
      <c r="L23" s="980"/>
      <c r="M23" s="980"/>
      <c r="N23" s="980"/>
      <c r="O23" s="980"/>
      <c r="P23" s="980"/>
    </row>
    <row r="24" spans="1:17" s="1" customFormat="1">
      <c r="A24" s="2">
        <v>5</v>
      </c>
      <c r="B24" s="115" t="s">
        <v>426</v>
      </c>
      <c r="C24" s="1134" t="s">
        <v>379</v>
      </c>
      <c r="D24" s="107"/>
      <c r="E24" s="386">
        <f>ROUND(E16*E22,0)</f>
        <v>23647925</v>
      </c>
      <c r="F24" s="107"/>
      <c r="G24" s="386">
        <f>ROUND(G16*G22,0)</f>
        <v>27205419</v>
      </c>
      <c r="H24" s="10"/>
      <c r="I24" s="1024"/>
      <c r="J24" s="980"/>
      <c r="K24" s="980"/>
      <c r="L24" s="980"/>
      <c r="M24" s="980"/>
      <c r="N24" s="980"/>
      <c r="O24" s="980"/>
      <c r="P24" s="980"/>
    </row>
    <row r="25" spans="1:17" s="1" customFormat="1">
      <c r="B25" s="107"/>
      <c r="C25" s="107"/>
      <c r="D25" s="107"/>
      <c r="E25" s="107"/>
      <c r="F25" s="107"/>
      <c r="G25" s="99"/>
      <c r="H25" s="10"/>
      <c r="I25" s="1022"/>
      <c r="J25" s="980"/>
      <c r="K25" s="980"/>
      <c r="L25" s="980"/>
      <c r="M25" s="980"/>
      <c r="N25" s="980"/>
      <c r="O25" s="980"/>
      <c r="P25" s="980"/>
    </row>
    <row r="26" spans="1:17" s="1" customFormat="1">
      <c r="A26" s="2">
        <v>6</v>
      </c>
      <c r="B26" s="115" t="s">
        <v>427</v>
      </c>
      <c r="C26" s="1134" t="s">
        <v>379</v>
      </c>
      <c r="D26" s="107"/>
      <c r="E26" s="386">
        <f>(E24-E18)</f>
        <v>1596080.6001750827</v>
      </c>
      <c r="F26" s="107"/>
      <c r="G26" s="386">
        <f>(G24-G18)</f>
        <v>1949962.5045863092</v>
      </c>
      <c r="H26" s="10"/>
      <c r="I26" s="1024"/>
      <c r="J26" s="980"/>
      <c r="K26" s="980"/>
      <c r="L26" s="980"/>
      <c r="M26" s="980"/>
      <c r="N26" s="980"/>
      <c r="O26" s="980"/>
      <c r="P26" s="980"/>
    </row>
    <row r="27" spans="1:17" s="1" customFormat="1">
      <c r="B27" s="107"/>
      <c r="C27" s="107"/>
      <c r="D27" s="107"/>
      <c r="E27" s="107"/>
      <c r="F27" s="107"/>
      <c r="G27" s="99"/>
      <c r="H27" s="10"/>
      <c r="I27" s="1022"/>
      <c r="J27" s="980"/>
      <c r="K27" s="980"/>
      <c r="L27" s="980"/>
      <c r="M27" s="980"/>
      <c r="N27" s="980"/>
      <c r="O27" s="980"/>
      <c r="P27" s="980"/>
    </row>
    <row r="28" spans="1:17" s="1" customFormat="1">
      <c r="A28" s="2">
        <v>7</v>
      </c>
      <c r="B28" s="115" t="s">
        <v>131</v>
      </c>
      <c r="C28" s="1132" t="s">
        <v>385</v>
      </c>
      <c r="D28" s="107"/>
      <c r="E28" s="647">
        <f>H.1!D34</f>
        <v>1.6481189999999999</v>
      </c>
      <c r="F28" s="107"/>
      <c r="G28" s="647">
        <f>H.1!E34</f>
        <v>1.6480349999999999</v>
      </c>
      <c r="H28" s="10"/>
      <c r="I28" s="1027"/>
      <c r="J28" s="980"/>
      <c r="K28" s="980"/>
      <c r="L28" s="980"/>
      <c r="M28" s="980"/>
      <c r="N28" s="980"/>
      <c r="O28" s="980"/>
      <c r="P28" s="980"/>
    </row>
    <row r="29" spans="1:17" s="1" customFormat="1">
      <c r="B29" s="107"/>
      <c r="C29" s="107"/>
      <c r="D29" s="107"/>
      <c r="E29" s="107"/>
      <c r="F29" s="107"/>
      <c r="G29" s="99"/>
      <c r="H29" s="10"/>
      <c r="I29" s="1022"/>
      <c r="J29" s="980"/>
      <c r="K29" s="980"/>
      <c r="L29" s="980"/>
      <c r="M29" s="980"/>
      <c r="N29" s="980"/>
      <c r="O29" s="980"/>
      <c r="P29" s="980"/>
    </row>
    <row r="30" spans="1:17" ht="15.75">
      <c r="A30" s="2">
        <v>8</v>
      </c>
      <c r="B30" s="1135" t="s">
        <v>428</v>
      </c>
      <c r="C30" s="268"/>
      <c r="D30" s="268"/>
      <c r="E30" s="517">
        <f>ROUND(E26*E28,0)</f>
        <v>2630531</v>
      </c>
      <c r="F30" s="268"/>
      <c r="G30" s="517">
        <f>ROUND(G26*G28,0)</f>
        <v>3213606</v>
      </c>
      <c r="I30" s="1028"/>
      <c r="J30" s="980"/>
      <c r="K30" s="980"/>
      <c r="L30" s="980"/>
      <c r="M30" s="985"/>
      <c r="N30" s="980"/>
      <c r="O30" s="980"/>
      <c r="P30" s="980"/>
    </row>
    <row r="31" spans="1:17">
      <c r="B31" s="268"/>
      <c r="C31" s="268"/>
      <c r="D31" s="268"/>
      <c r="E31" s="268"/>
      <c r="F31" s="268"/>
      <c r="G31" s="301"/>
      <c r="H31" s="259"/>
      <c r="I31" s="1029"/>
      <c r="J31" s="980"/>
      <c r="K31" s="980"/>
      <c r="L31" s="980"/>
      <c r="M31" s="980"/>
      <c r="N31" s="980"/>
      <c r="O31" s="980"/>
      <c r="P31" s="980"/>
    </row>
    <row r="32" spans="1:17">
      <c r="A32" s="260">
        <v>9</v>
      </c>
      <c r="B32" s="311" t="s">
        <v>1133</v>
      </c>
      <c r="C32" s="286" t="s">
        <v>379</v>
      </c>
      <c r="D32" s="268"/>
      <c r="E32" s="268"/>
      <c r="F32" s="268"/>
      <c r="G32" s="387">
        <f>G30</f>
        <v>3213606</v>
      </c>
      <c r="H32" s="259"/>
      <c r="I32" s="1029"/>
      <c r="J32" s="980"/>
      <c r="K32" s="980"/>
      <c r="L32" s="980"/>
      <c r="M32" s="980"/>
      <c r="N32" s="980"/>
      <c r="O32" s="980"/>
      <c r="P32" s="980"/>
    </row>
    <row r="33" spans="1:16">
      <c r="B33" s="268"/>
      <c r="C33" s="268"/>
      <c r="D33" s="268"/>
      <c r="E33" s="268"/>
      <c r="F33" s="268"/>
      <c r="G33" s="301"/>
      <c r="H33" s="259"/>
      <c r="I33" s="1029"/>
      <c r="J33" s="980"/>
      <c r="K33" s="980"/>
      <c r="L33" s="980"/>
      <c r="M33" s="980"/>
      <c r="N33" s="980"/>
      <c r="O33" s="980"/>
      <c r="P33" s="980"/>
    </row>
    <row r="34" spans="1:16">
      <c r="A34" s="260">
        <v>10</v>
      </c>
      <c r="B34" s="311" t="s">
        <v>1207</v>
      </c>
      <c r="C34" s="286" t="s">
        <v>379</v>
      </c>
      <c r="D34" s="268"/>
      <c r="E34" s="268"/>
      <c r="F34" s="268"/>
      <c r="G34" s="387">
        <f>C.1!F15</f>
        <v>166804655.47242033</v>
      </c>
      <c r="H34" s="259"/>
      <c r="I34" s="1029"/>
      <c r="J34" s="980"/>
      <c r="K34" s="980"/>
      <c r="L34" s="980"/>
      <c r="M34" s="980"/>
      <c r="N34" s="980"/>
      <c r="O34" s="980"/>
      <c r="P34" s="980"/>
    </row>
    <row r="35" spans="1:16">
      <c r="B35" s="268"/>
      <c r="C35" s="268"/>
      <c r="D35" s="268"/>
      <c r="E35" s="268"/>
      <c r="F35" s="268"/>
      <c r="G35" s="301"/>
      <c r="H35" s="259"/>
      <c r="I35" s="1029"/>
      <c r="J35" s="980"/>
      <c r="K35" s="980"/>
      <c r="L35" s="980"/>
      <c r="M35" s="980"/>
      <c r="N35" s="980"/>
      <c r="O35" s="980"/>
      <c r="P35" s="980"/>
    </row>
    <row r="36" spans="1:16">
      <c r="A36" s="260">
        <v>11</v>
      </c>
      <c r="B36" s="311" t="s">
        <v>429</v>
      </c>
      <c r="C36" s="286" t="s">
        <v>379</v>
      </c>
      <c r="D36" s="268"/>
      <c r="E36" s="268"/>
      <c r="F36" s="268"/>
      <c r="G36" s="387">
        <f>G32+G34</f>
        <v>170018261.47242033</v>
      </c>
      <c r="H36" s="259"/>
      <c r="I36" s="1029"/>
      <c r="J36" s="980"/>
      <c r="K36" s="980"/>
      <c r="L36" s="980"/>
      <c r="M36" s="980"/>
      <c r="N36" s="980"/>
      <c r="O36" s="980"/>
      <c r="P36" s="980"/>
    </row>
    <row r="37" spans="1:16">
      <c r="G37" s="268"/>
      <c r="I37" s="263"/>
      <c r="J37" s="263"/>
      <c r="K37" s="267"/>
    </row>
    <row r="38" spans="1:16">
      <c r="I38" s="263"/>
      <c r="J38" s="263"/>
      <c r="K38" s="263"/>
    </row>
    <row r="39" spans="1:16">
      <c r="A39" s="263"/>
      <c r="B39" s="302"/>
      <c r="C39" s="303"/>
      <c r="G39" s="980"/>
      <c r="I39" s="263"/>
      <c r="J39" s="263"/>
      <c r="K39" s="263"/>
    </row>
    <row r="40" spans="1:16">
      <c r="A40" s="263"/>
      <c r="B40" s="263"/>
      <c r="C40" s="263"/>
      <c r="G40" s="980"/>
      <c r="H40" s="980"/>
      <c r="I40" s="263"/>
      <c r="J40" s="263"/>
      <c r="K40" s="263"/>
    </row>
    <row r="41" spans="1:16">
      <c r="A41" s="263"/>
      <c r="B41" s="263"/>
      <c r="C41" s="263"/>
      <c r="G41" s="980"/>
      <c r="H41" s="980"/>
    </row>
    <row r="42" spans="1:16">
      <c r="G42" s="980"/>
    </row>
    <row r="43" spans="1:16">
      <c r="G43" s="980"/>
    </row>
  </sheetData>
  <phoneticPr fontId="24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60" zoomScaleNormal="75" workbookViewId="0">
      <pane xSplit="3" ySplit="11" topLeftCell="D12" activePane="bottomRight" state="frozen"/>
      <selection activeCell="H24" sqref="H24"/>
      <selection pane="topRight" activeCell="H24" sqref="H24"/>
      <selection pane="bottomLeft" activeCell="H24" sqref="H24"/>
      <selection pane="bottomRight" activeCell="E55" sqref="E55"/>
    </sheetView>
  </sheetViews>
  <sheetFormatPr defaultColWidth="7.109375" defaultRowHeight="15"/>
  <cols>
    <col min="1" max="1" width="4.6640625" customWidth="1"/>
    <col min="2" max="2" width="7.21875" customWidth="1"/>
    <col min="3" max="3" width="43.21875" customWidth="1"/>
    <col min="4" max="4" width="12.44140625" bestFit="1" customWidth="1"/>
    <col min="5" max="6" width="11.109375" customWidth="1"/>
    <col min="7" max="7" width="11.77734375" bestFit="1" customWidth="1"/>
    <col min="8" max="8" width="11.33203125" bestFit="1" customWidth="1"/>
    <col min="9" max="9" width="11.109375" customWidth="1"/>
    <col min="10" max="10" width="10.88671875" customWidth="1"/>
    <col min="11" max="14" width="11.3320312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7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7" ht="15.75">
      <c r="A3" s="1259" t="s">
        <v>192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7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7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7" ht="15.75">
      <c r="A6" s="4" t="str">
        <f>'C.2.1 F'!A6</f>
        <v>Data:________Base Period___X____Forecasted Period</v>
      </c>
      <c r="B6" s="79"/>
      <c r="C6" s="4"/>
      <c r="D6" s="1"/>
      <c r="E6" s="772"/>
      <c r="F6" s="1"/>
      <c r="G6" s="1"/>
      <c r="H6" s="1"/>
      <c r="I6" s="1"/>
      <c r="J6" s="1"/>
      <c r="K6" s="1"/>
      <c r="L6" s="1"/>
      <c r="M6" s="1"/>
      <c r="N6" s="79"/>
      <c r="O6" s="107"/>
      <c r="P6" s="233" t="s">
        <v>1524</v>
      </c>
      <c r="Q6" s="1"/>
    </row>
    <row r="7" spans="1:17">
      <c r="A7" s="4" t="str">
        <f>'C.2.1 F'!A7</f>
        <v>Type of Filing:___X____Original________Updated ________Revised</v>
      </c>
      <c r="B7" s="79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79"/>
      <c r="O7" s="107"/>
      <c r="P7" s="673" t="s">
        <v>38</v>
      </c>
      <c r="Q7" s="1"/>
    </row>
    <row r="8" spans="1:17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108"/>
      <c r="P8" s="674" t="str">
        <f>C.1!J9</f>
        <v>Witness: Waller, Smith</v>
      </c>
      <c r="Q8" s="1"/>
    </row>
    <row r="9" spans="1:17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7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299"/>
    </row>
    <row r="11" spans="1:17">
      <c r="A11" s="79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</row>
    <row r="12" spans="1:17">
      <c r="A12" s="77">
        <v>1</v>
      </c>
      <c r="B12" s="468">
        <v>4030</v>
      </c>
      <c r="C12" s="1" t="s">
        <v>96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">
        <f t="shared" ref="P12:P28" si="0">SUM(D12:O12)</f>
        <v>0</v>
      </c>
      <c r="Q12" s="1"/>
    </row>
    <row r="13" spans="1:17">
      <c r="A13" s="77">
        <f>A12+1</f>
        <v>2</v>
      </c>
      <c r="B13" s="468">
        <v>4081</v>
      </c>
      <c r="C13" s="1" t="s">
        <v>880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">
        <f t="shared" si="0"/>
        <v>0</v>
      </c>
      <c r="Q13" s="1"/>
    </row>
    <row r="14" spans="1:17">
      <c r="A14" s="828">
        <f t="shared" ref="A14:A34" si="1">A13+1</f>
        <v>3</v>
      </c>
      <c r="B14" s="468">
        <v>8700</v>
      </c>
      <c r="C14" s="1" t="s">
        <v>932</v>
      </c>
      <c r="D14" s="123">
        <f>VLOOKUP($B14,'[12]Div 12 forecast'!$D$163:$AF$239,18,FALSE)</f>
        <v>10.078541223589822</v>
      </c>
      <c r="E14" s="123">
        <f>VLOOKUP($B14,'[12]Div 12 forecast'!$D$163:$AF$239,19,FALSE)</f>
        <v>12.639057305299062</v>
      </c>
      <c r="F14" s="123">
        <f>VLOOKUP($B14,'[12]Div 12 forecast'!$D$163:$AF$239,20,FALSE)</f>
        <v>12.476431448160278</v>
      </c>
      <c r="G14" s="123">
        <f>VLOOKUP($B14,'[12]Div 12 forecast'!$D$163:$AF$239,21,FALSE)</f>
        <v>11.318983968386325</v>
      </c>
      <c r="H14" s="123">
        <f>VLOOKUP($B14,'[12]Div 12 forecast'!$D$163:$AF$239,22,FALSE)</f>
        <v>11.343658236366004</v>
      </c>
      <c r="I14" s="123">
        <f>VLOOKUP($B14,'[12]Div 12 forecast'!$D$163:$AF$239,23,FALSE)</f>
        <v>10.761569823572707</v>
      </c>
      <c r="J14" s="123">
        <f>VLOOKUP($B14,'[12]Div 12 forecast'!$D$163:$AF$239,24,FALSE)</f>
        <v>12.461851198899561</v>
      </c>
      <c r="K14" s="123">
        <f>VLOOKUP($B14,'[12]Div 12 forecast'!$D$163:$AF$239,25,FALSE)</f>
        <v>12.307076245208858</v>
      </c>
      <c r="L14" s="123">
        <f>VLOOKUP($B14,'[12]Div 12 forecast'!$D$163:$AF$239,26,FALSE)</f>
        <v>9.3742030285335787</v>
      </c>
      <c r="M14" s="123">
        <f>VLOOKUP($B14,'[12]Div 12 forecast'!$D$163:$AF$239,27,FALSE)</f>
        <v>9.7342230295097796</v>
      </c>
      <c r="N14" s="123">
        <f>VLOOKUP($B14,'[12]Div 12 forecast'!$D$163:$AF$239,28,FALSE)</f>
        <v>12.327264282646775</v>
      </c>
      <c r="O14" s="123">
        <f>VLOOKUP($B14,'[12]Div 12 forecast'!$D$163:$AF$239,29,FALSE)</f>
        <v>12.425961354565484</v>
      </c>
      <c r="P14" s="1">
        <f t="shared" si="0"/>
        <v>137.24882114473823</v>
      </c>
      <c r="Q14" s="1"/>
    </row>
    <row r="15" spans="1:17">
      <c r="A15" s="828">
        <f t="shared" si="1"/>
        <v>4</v>
      </c>
      <c r="B15" s="468">
        <v>8740</v>
      </c>
      <c r="C15" s="1" t="s">
        <v>934</v>
      </c>
      <c r="D15" s="123">
        <f>VLOOKUP($B15,'[12]Div 12 forecast'!$D$163:$AF$239,18,FALSE)</f>
        <v>1944.2721978116338</v>
      </c>
      <c r="E15" s="123">
        <f>VLOOKUP($B15,'[12]Div 12 forecast'!$D$163:$AF$239,19,FALSE)</f>
        <v>1944.2721978116338</v>
      </c>
      <c r="F15" s="123">
        <f>VLOOKUP($B15,'[12]Div 12 forecast'!$D$163:$AF$239,20,FALSE)</f>
        <v>1944.2721978116338</v>
      </c>
      <c r="G15" s="123">
        <f>VLOOKUP($B15,'[12]Div 12 forecast'!$D$163:$AF$239,21,FALSE)</f>
        <v>1944.2721978116338</v>
      </c>
      <c r="H15" s="123">
        <f>VLOOKUP($B15,'[12]Div 12 forecast'!$D$163:$AF$239,22,FALSE)</f>
        <v>1944.2721978116338</v>
      </c>
      <c r="I15" s="123">
        <f>VLOOKUP($B15,'[12]Div 12 forecast'!$D$163:$AF$239,23,FALSE)</f>
        <v>1944.2721978116338</v>
      </c>
      <c r="J15" s="123">
        <f>VLOOKUP($B15,'[12]Div 12 forecast'!$D$163:$AF$239,24,FALSE)</f>
        <v>1944.2721978116338</v>
      </c>
      <c r="K15" s="123">
        <f>VLOOKUP($B15,'[12]Div 12 forecast'!$D$163:$AF$239,25,FALSE)</f>
        <v>1944.2721978116338</v>
      </c>
      <c r="L15" s="123">
        <f>VLOOKUP($B15,'[12]Div 12 forecast'!$D$163:$AF$239,26,FALSE)</f>
        <v>1944.2721978116338</v>
      </c>
      <c r="M15" s="123">
        <f>VLOOKUP($B15,'[12]Div 12 forecast'!$D$163:$AF$239,27,FALSE)</f>
        <v>1944.2721978116338</v>
      </c>
      <c r="N15" s="123">
        <f>VLOOKUP($B15,'[12]Div 12 forecast'!$D$163:$AF$239,28,FALSE)</f>
        <v>1944.2721978116338</v>
      </c>
      <c r="O15" s="123">
        <f>VLOOKUP($B15,'[12]Div 12 forecast'!$D$163:$AF$239,29,FALSE)</f>
        <v>1944.2721978116338</v>
      </c>
      <c r="P15" s="1">
        <f t="shared" si="0"/>
        <v>23331.266373739607</v>
      </c>
      <c r="Q15" s="1"/>
    </row>
    <row r="16" spans="1:17">
      <c r="A16" s="959">
        <f t="shared" si="1"/>
        <v>5</v>
      </c>
      <c r="B16" s="468">
        <v>8800</v>
      </c>
      <c r="C16" s="1" t="s">
        <v>940</v>
      </c>
      <c r="D16" s="123">
        <f>VLOOKUP($B16,'[12]Div 12 forecast'!$D$163:$AF$239,18,FALSE)</f>
        <v>7.6288215222652864</v>
      </c>
      <c r="E16" s="123">
        <f>VLOOKUP($B16,'[12]Div 12 forecast'!$D$163:$AF$239,19,FALSE)</f>
        <v>24.160056704154766</v>
      </c>
      <c r="F16" s="123">
        <f>VLOOKUP($B16,'[12]Div 12 forecast'!$D$163:$AF$239,20,FALSE)</f>
        <v>1.4327124132995814</v>
      </c>
      <c r="G16" s="123">
        <f>VLOOKUP($B16,'[12]Div 12 forecast'!$D$163:$AF$239,21,FALSE)</f>
        <v>2.2865613049400753</v>
      </c>
      <c r="H16" s="123">
        <f>VLOOKUP($B16,'[12]Div 12 forecast'!$D$163:$AF$239,22,FALSE)</f>
        <v>8.2701220092074461</v>
      </c>
      <c r="I16" s="123">
        <f>VLOOKUP($B16,'[12]Div 12 forecast'!$D$163:$AF$239,23,FALSE)</f>
        <v>10.752357998372652</v>
      </c>
      <c r="J16" s="123">
        <f>VLOOKUP($B16,'[12]Div 12 forecast'!$D$163:$AF$239,24,FALSE)</f>
        <v>7.6915742923715502</v>
      </c>
      <c r="K16" s="123">
        <f>VLOOKUP($B16,'[12]Div 12 forecast'!$D$163:$AF$239,25,FALSE)</f>
        <v>6.5933227042125786</v>
      </c>
      <c r="L16" s="123">
        <f>VLOOKUP($B16,'[12]Div 12 forecast'!$D$163:$AF$239,26,FALSE)</f>
        <v>6.0170460944030433</v>
      </c>
      <c r="M16" s="123">
        <f>VLOOKUP($B16,'[12]Div 12 forecast'!$D$163:$AF$239,27,FALSE)</f>
        <v>6.4518673406159746</v>
      </c>
      <c r="N16" s="123">
        <f>VLOOKUP($B16,'[12]Div 12 forecast'!$D$163:$AF$239,28,FALSE)</f>
        <v>7.2179779252344831</v>
      </c>
      <c r="O16" s="123">
        <f>VLOOKUP($B16,'[12]Div 12 forecast'!$D$163:$AF$239,29,FALSE)</f>
        <v>18.234199252448366</v>
      </c>
      <c r="P16" s="1">
        <f t="shared" si="0"/>
        <v>106.7366195615258</v>
      </c>
      <c r="Q16" s="1"/>
    </row>
    <row r="17" spans="1:17">
      <c r="A17" s="959">
        <f t="shared" si="1"/>
        <v>6</v>
      </c>
      <c r="B17" s="468">
        <v>9010</v>
      </c>
      <c r="C17" s="1" t="s">
        <v>186</v>
      </c>
      <c r="D17" s="123">
        <f>VLOOKUP($B17,'[12]Div 12 forecast'!$D$163:$AF$239,18,FALSE)</f>
        <v>490956.6239141578</v>
      </c>
      <c r="E17" s="123">
        <f>VLOOKUP($B17,'[12]Div 12 forecast'!$D$163:$AF$239,19,FALSE)</f>
        <v>476661.44494132552</v>
      </c>
      <c r="F17" s="123">
        <f>VLOOKUP($B17,'[12]Div 12 forecast'!$D$163:$AF$239,20,FALSE)</f>
        <v>517559.88146398455</v>
      </c>
      <c r="G17" s="123">
        <f>VLOOKUP($B17,'[12]Div 12 forecast'!$D$163:$AF$239,21,FALSE)</f>
        <v>494850.1140261789</v>
      </c>
      <c r="H17" s="123">
        <f>VLOOKUP($B17,'[12]Div 12 forecast'!$D$163:$AF$239,22,FALSE)</f>
        <v>506934.78708737792</v>
      </c>
      <c r="I17" s="123">
        <f>VLOOKUP($B17,'[12]Div 12 forecast'!$D$163:$AF$239,23,FALSE)</f>
        <v>484867.78003578522</v>
      </c>
      <c r="J17" s="123">
        <f>VLOOKUP($B17,'[12]Div 12 forecast'!$D$163:$AF$239,24,FALSE)</f>
        <v>530713.09422428114</v>
      </c>
      <c r="K17" s="123">
        <f>VLOOKUP($B17,'[12]Div 12 forecast'!$D$163:$AF$239,25,FALSE)</f>
        <v>489115.11696146271</v>
      </c>
      <c r="L17" s="123">
        <f>VLOOKUP($B17,'[12]Div 12 forecast'!$D$163:$AF$239,26,FALSE)</f>
        <v>481950.12616370583</v>
      </c>
      <c r="M17" s="123">
        <f>VLOOKUP($B17,'[12]Div 12 forecast'!$D$163:$AF$239,27,FALSE)</f>
        <v>524369.63166709163</v>
      </c>
      <c r="N17" s="123">
        <f>VLOOKUP($B17,'[12]Div 12 forecast'!$D$163:$AF$239,28,FALSE)</f>
        <v>487785.41953072074</v>
      </c>
      <c r="O17" s="123">
        <f>VLOOKUP($B17,'[12]Div 12 forecast'!$D$163:$AF$239,29,FALSE)</f>
        <v>509311.22903028695</v>
      </c>
      <c r="P17" s="1">
        <f t="shared" si="0"/>
        <v>5995075.2490463592</v>
      </c>
      <c r="Q17" s="1"/>
    </row>
    <row r="18" spans="1:17" s="1058" customFormat="1">
      <c r="A18" s="1062">
        <f t="shared" si="1"/>
        <v>7</v>
      </c>
      <c r="B18" s="400">
        <v>9020</v>
      </c>
      <c r="C18" s="204" t="s">
        <v>951</v>
      </c>
      <c r="D18" s="123">
        <f>VLOOKUP($B18,'[12]Div 12 forecast'!$D$163:$AF$239,18,FALSE)</f>
        <v>58.900341141797085</v>
      </c>
      <c r="E18" s="123">
        <f>VLOOKUP($B18,'[12]Div 12 forecast'!$D$163:$AF$239,19,FALSE)</f>
        <v>73.864339141699475</v>
      </c>
      <c r="F18" s="123">
        <f>VLOOKUP($B18,'[12]Div 12 forecast'!$D$163:$AF$239,20,FALSE)</f>
        <v>72.913931909993011</v>
      </c>
      <c r="G18" s="123">
        <f>VLOOKUP($B18,'[12]Div 12 forecast'!$D$163:$AF$239,21,FALSE)</f>
        <v>66.149654233296019</v>
      </c>
      <c r="H18" s="123">
        <f>VLOOKUP($B18,'[12]Div 12 forecast'!$D$163:$AF$239,22,FALSE)</f>
        <v>66.293853951210082</v>
      </c>
      <c r="I18" s="123">
        <f>VLOOKUP($B18,'[12]Div 12 forecast'!$D$163:$AF$239,23,FALSE)</f>
        <v>62.892051514964223</v>
      </c>
      <c r="J18" s="123">
        <f>VLOOKUP($B18,'[12]Div 12 forecast'!$D$163:$AF$239,24,FALSE)</f>
        <v>72.828722985771051</v>
      </c>
      <c r="K18" s="123">
        <f>VLOOKUP($B18,'[12]Div 12 forecast'!$D$163:$AF$239,25,FALSE)</f>
        <v>71.924197482491806</v>
      </c>
      <c r="L18" s="123">
        <f>VLOOKUP($B18,'[12]Div 12 forecast'!$D$163:$AF$239,26,FALSE)</f>
        <v>54.784094648613255</v>
      </c>
      <c r="M18" s="123">
        <f>VLOOKUP($B18,'[12]Div 12 forecast'!$D$163:$AF$239,27,FALSE)</f>
        <v>56.888099623632378</v>
      </c>
      <c r="N18" s="123">
        <f>VLOOKUP($B18,'[12]Div 12 forecast'!$D$163:$AF$239,28,FALSE)</f>
        <v>72.042179069876056</v>
      </c>
      <c r="O18" s="123">
        <f>VLOOKUP($B18,'[12]Div 12 forecast'!$D$163:$AF$239,29,FALSE)</f>
        <v>72.618977941532378</v>
      </c>
      <c r="P18" s="1">
        <f t="shared" si="0"/>
        <v>802.1004436448768</v>
      </c>
      <c r="Q18" s="1"/>
    </row>
    <row r="19" spans="1:17">
      <c r="A19" s="1062">
        <f t="shared" si="1"/>
        <v>8</v>
      </c>
      <c r="B19" s="468">
        <v>9030</v>
      </c>
      <c r="C19" s="1" t="s">
        <v>956</v>
      </c>
      <c r="D19" s="123">
        <f>VLOOKUP($B19,'[12]Div 12 forecast'!$D$163:$AF$239,18,FALSE)</f>
        <v>1989556.6772795499</v>
      </c>
      <c r="E19" s="123">
        <f>VLOOKUP($B19,'[12]Div 12 forecast'!$D$163:$AF$239,19,FALSE)</f>
        <v>1956432.8070409035</v>
      </c>
      <c r="F19" s="123">
        <f>VLOOKUP($B19,'[12]Div 12 forecast'!$D$163:$AF$239,20,FALSE)</f>
        <v>2077808.3643239501</v>
      </c>
      <c r="G19" s="123">
        <f>VLOOKUP($B19,'[12]Div 12 forecast'!$D$163:$AF$239,21,FALSE)</f>
        <v>1991861.1490554838</v>
      </c>
      <c r="H19" s="123">
        <f>VLOOKUP($B19,'[12]Div 12 forecast'!$D$163:$AF$239,22,FALSE)</f>
        <v>2100528.6637602998</v>
      </c>
      <c r="I19" s="123">
        <f>VLOOKUP($B19,'[12]Div 12 forecast'!$D$163:$AF$239,23,FALSE)</f>
        <v>1961864.9376536708</v>
      </c>
      <c r="J19" s="123">
        <f>VLOOKUP($B19,'[12]Div 12 forecast'!$D$163:$AF$239,24,FALSE)</f>
        <v>2140416.1289643305</v>
      </c>
      <c r="K19" s="123">
        <f>VLOOKUP($B19,'[12]Div 12 forecast'!$D$163:$AF$239,25,FALSE)</f>
        <v>2011852.6767204395</v>
      </c>
      <c r="L19" s="123">
        <f>VLOOKUP($B19,'[12]Div 12 forecast'!$D$163:$AF$239,26,FALSE)</f>
        <v>1959706.4258027505</v>
      </c>
      <c r="M19" s="123">
        <f>VLOOKUP($B19,'[12]Div 12 forecast'!$D$163:$AF$239,27,FALSE)</f>
        <v>2138458.0819156761</v>
      </c>
      <c r="N19" s="123">
        <f>VLOOKUP($B19,'[12]Div 12 forecast'!$D$163:$AF$239,28,FALSE)</f>
        <v>2012051.9514232301</v>
      </c>
      <c r="O19" s="123">
        <f>VLOOKUP($B19,'[12]Div 12 forecast'!$D$163:$AF$239,29,FALSE)</f>
        <v>2051187.4714142326</v>
      </c>
      <c r="P19" s="1">
        <f t="shared" si="0"/>
        <v>24391725.335354522</v>
      </c>
      <c r="Q19" s="1"/>
    </row>
    <row r="20" spans="1:17">
      <c r="A20" s="1062">
        <f t="shared" si="1"/>
        <v>9</v>
      </c>
      <c r="B20" s="468">
        <v>9200</v>
      </c>
      <c r="C20" s="1" t="s">
        <v>187</v>
      </c>
      <c r="D20" s="123">
        <f>VLOOKUP($B20,'[12]Div 12 forecast'!$D$163:$AF$239,18,FALSE)</f>
        <v>364910.68369002739</v>
      </c>
      <c r="E20" s="123">
        <f>VLOOKUP($B20,'[12]Div 12 forecast'!$D$163:$AF$239,19,FALSE)</f>
        <v>349070.34339133336</v>
      </c>
      <c r="F20" s="123">
        <f>VLOOKUP($B20,'[12]Div 12 forecast'!$D$163:$AF$239,20,FALSE)</f>
        <v>380938.31919138582</v>
      </c>
      <c r="G20" s="123">
        <f>VLOOKUP($B20,'[12]Div 12 forecast'!$D$163:$AF$239,21,FALSE)</f>
        <v>365099.6334640893</v>
      </c>
      <c r="H20" s="123">
        <f>VLOOKUP($B20,'[12]Div 12 forecast'!$D$163:$AF$239,22,FALSE)</f>
        <v>376047.30045765842</v>
      </c>
      <c r="I20" s="123">
        <f>VLOOKUP($B20,'[12]Div 12 forecast'!$D$163:$AF$239,23,FALSE)</f>
        <v>359554.60745888902</v>
      </c>
      <c r="J20" s="123">
        <f>VLOOKUP($B20,'[12]Div 12 forecast'!$D$163:$AF$239,24,FALSE)</f>
        <v>392555.28579359315</v>
      </c>
      <c r="K20" s="123">
        <f>VLOOKUP($B20,'[12]Div 12 forecast'!$D$163:$AF$239,25,FALSE)</f>
        <v>359531.99279062037</v>
      </c>
      <c r="L20" s="123">
        <f>VLOOKUP($B20,'[12]Div 12 forecast'!$D$163:$AF$239,26,FALSE)</f>
        <v>359532.12156484625</v>
      </c>
      <c r="M20" s="123">
        <f>VLOOKUP($B20,'[12]Div 12 forecast'!$D$163:$AF$239,27,FALSE)</f>
        <v>392557.47060495184</v>
      </c>
      <c r="N20" s="123">
        <f>VLOOKUP($B20,'[12]Div 12 forecast'!$D$163:$AF$239,28,FALSE)</f>
        <v>359539.00402515958</v>
      </c>
      <c r="O20" s="123">
        <f>VLOOKUP($B20,'[12]Div 12 forecast'!$D$163:$AF$239,29,FALSE)</f>
        <v>376041.06708905095</v>
      </c>
      <c r="P20" s="1">
        <f t="shared" si="0"/>
        <v>4435377.8295216048</v>
      </c>
      <c r="Q20" s="1"/>
    </row>
    <row r="21" spans="1:17">
      <c r="A21" s="1062">
        <f t="shared" si="1"/>
        <v>10</v>
      </c>
      <c r="B21" s="468">
        <v>9210</v>
      </c>
      <c r="C21" s="1" t="s">
        <v>963</v>
      </c>
      <c r="D21" s="123">
        <f>VLOOKUP($B21,'[12]Div 12 forecast'!$D$163:$AF$239,18,FALSE)</f>
        <v>225749.76552578231</v>
      </c>
      <c r="E21" s="123">
        <f>VLOOKUP($B21,'[12]Div 12 forecast'!$D$163:$AF$239,19,FALSE)</f>
        <v>228798.80856100851</v>
      </c>
      <c r="F21" s="123">
        <f>VLOOKUP($B21,'[12]Div 12 forecast'!$D$163:$AF$239,20,FALSE)</f>
        <v>228537.9235745339</v>
      </c>
      <c r="G21" s="123">
        <f>VLOOKUP($B21,'[12]Div 12 forecast'!$D$163:$AF$239,21,FALSE)</f>
        <v>208903.0450778958</v>
      </c>
      <c r="H21" s="123">
        <f>VLOOKUP($B21,'[12]Div 12 forecast'!$D$163:$AF$239,22,FALSE)</f>
        <v>218204.73640235869</v>
      </c>
      <c r="I21" s="123">
        <f>VLOOKUP($B21,'[12]Div 12 forecast'!$D$163:$AF$239,23,FALSE)</f>
        <v>219028.16632233048</v>
      </c>
      <c r="J21" s="123">
        <f>VLOOKUP($B21,'[12]Div 12 forecast'!$D$163:$AF$239,24,FALSE)</f>
        <v>274115.33519323886</v>
      </c>
      <c r="K21" s="123">
        <f>VLOOKUP($B21,'[12]Div 12 forecast'!$D$163:$AF$239,25,FALSE)</f>
        <v>216051.37562745909</v>
      </c>
      <c r="L21" s="123">
        <f>VLOOKUP($B21,'[12]Div 12 forecast'!$D$163:$AF$239,26,FALSE)</f>
        <v>208814.04274894169</v>
      </c>
      <c r="M21" s="123">
        <f>VLOOKUP($B21,'[12]Div 12 forecast'!$D$163:$AF$239,27,FALSE)</f>
        <v>222686.82707046057</v>
      </c>
      <c r="N21" s="123">
        <f>VLOOKUP($B21,'[12]Div 12 forecast'!$D$163:$AF$239,28,FALSE)</f>
        <v>218608.72820242791</v>
      </c>
      <c r="O21" s="123">
        <f>VLOOKUP($B21,'[12]Div 12 forecast'!$D$163:$AF$239,29,FALSE)</f>
        <v>221347.42718565563</v>
      </c>
      <c r="P21" s="1">
        <f t="shared" si="0"/>
        <v>2690846.181492093</v>
      </c>
      <c r="Q21" s="1"/>
    </row>
    <row r="22" spans="1:17">
      <c r="A22" s="1062">
        <f t="shared" si="1"/>
        <v>11</v>
      </c>
      <c r="B22" s="468">
        <v>9220</v>
      </c>
      <c r="C22" s="1" t="s">
        <v>964</v>
      </c>
      <c r="D22" s="123">
        <f t="shared" ref="D22:O22" si="2">-(SUM(D12:D21)+SUM(D23:D28))</f>
        <v>-4239140.2299999995</v>
      </c>
      <c r="E22" s="123">
        <f t="shared" si="2"/>
        <v>-4224786.16</v>
      </c>
      <c r="F22" s="123">
        <f t="shared" si="2"/>
        <v>-4389294.83</v>
      </c>
      <c r="G22" s="123">
        <f t="shared" si="2"/>
        <v>-4200956.63</v>
      </c>
      <c r="H22" s="123">
        <f t="shared" si="2"/>
        <v>-4458144.8132436816</v>
      </c>
      <c r="I22" s="123">
        <f t="shared" si="2"/>
        <v>-4260830.5182641707</v>
      </c>
      <c r="J22" s="123">
        <f t="shared" si="2"/>
        <v>-4645505.6441576201</v>
      </c>
      <c r="K22" s="123">
        <f t="shared" si="2"/>
        <v>-4272414.5782641713</v>
      </c>
      <c r="L22" s="123">
        <f t="shared" si="2"/>
        <v>-4202860.1482641716</v>
      </c>
      <c r="M22" s="123">
        <f t="shared" si="2"/>
        <v>-4573649.694157619</v>
      </c>
      <c r="N22" s="123">
        <f t="shared" si="2"/>
        <v>-4282075.9882641714</v>
      </c>
      <c r="O22" s="123">
        <f t="shared" si="2"/>
        <v>-4460128.1232436821</v>
      </c>
      <c r="P22" s="1">
        <f t="shared" si="0"/>
        <v>-52209787.357859291</v>
      </c>
      <c r="Q22" s="1"/>
    </row>
    <row r="23" spans="1:17">
      <c r="A23" s="1062">
        <f t="shared" si="1"/>
        <v>12</v>
      </c>
      <c r="B23" s="468">
        <v>9230</v>
      </c>
      <c r="C23" s="1" t="s">
        <v>965</v>
      </c>
      <c r="D23" s="123">
        <f>VLOOKUP($B23,'[12]Div 12 forecast'!$D$163:$AF$239,18,FALSE)</f>
        <v>22709.364056460839</v>
      </c>
      <c r="E23" s="123">
        <f>VLOOKUP($B23,'[12]Div 12 forecast'!$D$163:$AF$239,19,FALSE)</f>
        <v>20142.726006908637</v>
      </c>
      <c r="F23" s="123">
        <f>VLOOKUP($B23,'[12]Div 12 forecast'!$D$163:$AF$239,20,FALSE)</f>
        <v>22899.10524111654</v>
      </c>
      <c r="G23" s="123">
        <f>VLOOKUP($B23,'[12]Div 12 forecast'!$D$163:$AF$239,21,FALSE)</f>
        <v>17694.378655961431</v>
      </c>
      <c r="H23" s="123">
        <f>VLOOKUP($B23,'[12]Div 12 forecast'!$D$163:$AF$239,22,FALSE)</f>
        <v>18405.812904484945</v>
      </c>
      <c r="I23" s="123">
        <f>VLOOKUP($B23,'[12]Div 12 forecast'!$D$163:$AF$239,23,FALSE)</f>
        <v>17979.433014054684</v>
      </c>
      <c r="J23" s="123">
        <f>VLOOKUP($B23,'[12]Div 12 forecast'!$D$163:$AF$239,24,FALSE)</f>
        <v>27198.700198579809</v>
      </c>
      <c r="K23" s="123">
        <f>VLOOKUP($B23,'[12]Div 12 forecast'!$D$163:$AF$239,25,FALSE)</f>
        <v>17905.950000505873</v>
      </c>
      <c r="L23" s="123">
        <f>VLOOKUP($B23,'[12]Div 12 forecast'!$D$163:$AF$239,26,FALSE)</f>
        <v>17884.130417478467</v>
      </c>
      <c r="M23" s="123">
        <f>VLOOKUP($B23,'[12]Div 12 forecast'!$D$163:$AF$239,27,FALSE)</f>
        <v>19912.303867671537</v>
      </c>
      <c r="N23" s="123">
        <f>VLOOKUP($B23,'[12]Div 12 forecast'!$D$163:$AF$239,28,FALSE)</f>
        <v>17332.74154463274</v>
      </c>
      <c r="O23" s="123">
        <f>VLOOKUP($B23,'[12]Div 12 forecast'!$D$163:$AF$239,29,FALSE)</f>
        <v>16911.732424960977</v>
      </c>
      <c r="P23" s="1">
        <f t="shared" si="0"/>
        <v>236976.37833281647</v>
      </c>
      <c r="Q23" s="1"/>
    </row>
    <row r="24" spans="1:17">
      <c r="A24" s="1062">
        <f t="shared" si="1"/>
        <v>13</v>
      </c>
      <c r="B24" s="468">
        <v>9240</v>
      </c>
      <c r="C24" s="1" t="s">
        <v>966</v>
      </c>
      <c r="D24" s="123">
        <f>VLOOKUP($B24,'[12]Div 12 forecast'!$D$163:$AF$239,18,FALSE)</f>
        <v>0</v>
      </c>
      <c r="E24" s="123">
        <f>VLOOKUP($B24,'[12]Div 12 forecast'!$D$163:$AF$239,19,FALSE)</f>
        <v>0</v>
      </c>
      <c r="F24" s="123">
        <f>VLOOKUP($B24,'[12]Div 12 forecast'!$D$163:$AF$239,20,FALSE)</f>
        <v>0</v>
      </c>
      <c r="G24" s="123">
        <f>VLOOKUP($B24,'[12]Div 12 forecast'!$D$163:$AF$239,21,FALSE)</f>
        <v>0</v>
      </c>
      <c r="H24" s="123">
        <f>VLOOKUP($B24,'[12]Div 12 forecast'!$D$163:$AF$239,22,FALSE)</f>
        <v>0</v>
      </c>
      <c r="I24" s="123">
        <f>VLOOKUP($B24,'[12]Div 12 forecast'!$D$163:$AF$239,23,FALSE)</f>
        <v>0</v>
      </c>
      <c r="J24" s="123">
        <f>VLOOKUP($B24,'[12]Div 12 forecast'!$D$163:$AF$239,24,FALSE)</f>
        <v>0</v>
      </c>
      <c r="K24" s="123">
        <f>VLOOKUP($B24,'[12]Div 12 forecast'!$D$163:$AF$239,25,FALSE)</f>
        <v>0</v>
      </c>
      <c r="L24" s="123">
        <f>VLOOKUP($B24,'[12]Div 12 forecast'!$D$163:$AF$239,26,FALSE)</f>
        <v>0</v>
      </c>
      <c r="M24" s="123">
        <f>VLOOKUP($B24,'[12]Div 12 forecast'!$D$163:$AF$239,27,FALSE)</f>
        <v>0</v>
      </c>
      <c r="N24" s="123">
        <f>VLOOKUP($B24,'[12]Div 12 forecast'!$D$163:$AF$239,28,FALSE)</f>
        <v>0</v>
      </c>
      <c r="O24" s="123">
        <f>VLOOKUP($B24,'[12]Div 12 forecast'!$D$163:$AF$239,29,FALSE)</f>
        <v>0</v>
      </c>
      <c r="P24" s="1">
        <f t="shared" si="0"/>
        <v>0</v>
      </c>
      <c r="Q24" s="1"/>
    </row>
    <row r="25" spans="1:17" s="1058" customFormat="1">
      <c r="A25" s="1062">
        <f t="shared" si="1"/>
        <v>14</v>
      </c>
      <c r="B25" s="400">
        <v>9250</v>
      </c>
      <c r="C25" s="1058" t="s">
        <v>967</v>
      </c>
      <c r="D25" s="123">
        <f>VLOOKUP($B25,'[12]Div 12 forecast'!$D$163:$AF$239,18,FALSE)</f>
        <v>17.72744462442283</v>
      </c>
      <c r="E25" s="123">
        <f>VLOOKUP($B25,'[12]Div 12 forecast'!$D$163:$AF$239,19,FALSE)</f>
        <v>16.128740866532681</v>
      </c>
      <c r="F25" s="123">
        <f>VLOOKUP($B25,'[12]Div 12 forecast'!$D$163:$AF$239,20,FALSE)</f>
        <v>17.72744462442283</v>
      </c>
      <c r="G25" s="123">
        <f>VLOOKUP($B25,'[12]Div 12 forecast'!$D$163:$AF$239,21,FALSE)</f>
        <v>16.128740866532681</v>
      </c>
      <c r="H25" s="123">
        <f>VLOOKUP($B25,'[12]Div 12 forecast'!$D$163:$AF$239,22,FALSE)</f>
        <v>16.128740866532681</v>
      </c>
      <c r="I25" s="123">
        <f>VLOOKUP($B25,'[12]Div 12 forecast'!$D$163:$AF$239,23,FALSE)</f>
        <v>16.128740866532681</v>
      </c>
      <c r="J25" s="123">
        <f>VLOOKUP($B25,'[12]Div 12 forecast'!$D$163:$AF$239,24,FALSE)</f>
        <v>24.99427988755988</v>
      </c>
      <c r="K25" s="123">
        <f>VLOOKUP($B25,'[12]Div 12 forecast'!$D$163:$AF$239,25,FALSE)</f>
        <v>16.128740866532681</v>
      </c>
      <c r="L25" s="123">
        <f>VLOOKUP($B25,'[12]Div 12 forecast'!$D$163:$AF$239,26,FALSE)</f>
        <v>16.128740866532681</v>
      </c>
      <c r="M25" s="123">
        <f>VLOOKUP($B25,'[12]Div 12 forecast'!$D$163:$AF$239,27,FALSE)</f>
        <v>17.72744462442283</v>
      </c>
      <c r="N25" s="123">
        <f>VLOOKUP($B25,'[12]Div 12 forecast'!$D$163:$AF$239,28,FALSE)</f>
        <v>16.128740866532681</v>
      </c>
      <c r="O25" s="123">
        <f>VLOOKUP($B25,'[12]Div 12 forecast'!$D$163:$AF$239,29,FALSE)</f>
        <v>16.128740866532681</v>
      </c>
      <c r="P25" s="1">
        <f t="shared" si="0"/>
        <v>207.20654069308978</v>
      </c>
      <c r="Q25" s="1"/>
    </row>
    <row r="26" spans="1:17">
      <c r="A26" s="1062">
        <f t="shared" si="1"/>
        <v>15</v>
      </c>
      <c r="B26" s="468">
        <v>9260</v>
      </c>
      <c r="C26" s="1" t="s">
        <v>968</v>
      </c>
      <c r="D26" s="123">
        <f>VLOOKUP($B26,'[12]Div 12 forecast'!$D$163:$AF$239,18,FALSE)</f>
        <v>1009770.3432075272</v>
      </c>
      <c r="E26" s="123">
        <f>VLOOKUP($B26,'[12]Div 12 forecast'!$D$163:$AF$239,19,FALSE)</f>
        <v>1054256.557936999</v>
      </c>
      <c r="F26" s="123">
        <f>VLOOKUP($B26,'[12]Div 12 forecast'!$D$163:$AF$239,20,FALSE)</f>
        <v>1019899.9517827241</v>
      </c>
      <c r="G26" s="123">
        <f>VLOOKUP($B26,'[12]Div 12 forecast'!$D$163:$AF$239,21,FALSE)</f>
        <v>982265.38164221391</v>
      </c>
      <c r="H26" s="123">
        <f>VLOOKUP($B26,'[12]Div 12 forecast'!$D$163:$AF$239,22,FALSE)</f>
        <v>1097735.6628697559</v>
      </c>
      <c r="I26" s="123">
        <f>VLOOKUP($B26,'[12]Div 12 forecast'!$D$163:$AF$239,23,FALSE)</f>
        <v>1064430.1520594757</v>
      </c>
      <c r="J26" s="123">
        <f>VLOOKUP($B26,'[12]Div 12 forecast'!$D$163:$AF$239,24,FALSE)</f>
        <v>1141015.6975452001</v>
      </c>
      <c r="K26" s="123">
        <f>VLOOKUP($B26,'[12]Div 12 forecast'!$D$163:$AF$239,25,FALSE)</f>
        <v>1042638.5525303954</v>
      </c>
      <c r="L26" s="123">
        <f>VLOOKUP($B26,'[12]Div 12 forecast'!$D$163:$AF$239,26,FALSE)</f>
        <v>1039619.1049396095</v>
      </c>
      <c r="M26" s="123">
        <f>VLOOKUP($B26,'[12]Div 12 forecast'!$D$163:$AF$239,27,FALSE)</f>
        <v>1134520.1533828296</v>
      </c>
      <c r="N26" s="123">
        <f>VLOOKUP($B26,'[12]Div 12 forecast'!$D$163:$AF$239,28,FALSE)</f>
        <v>1045911.4837409991</v>
      </c>
      <c r="O26" s="123">
        <f>VLOOKUP($B26,'[12]Div 12 forecast'!$D$163:$AF$239,29,FALSE)</f>
        <v>1149943.2460240547</v>
      </c>
      <c r="P26" s="1">
        <f t="shared" si="0"/>
        <v>12782006.287661785</v>
      </c>
      <c r="Q26" s="1"/>
    </row>
    <row r="27" spans="1:17">
      <c r="A27" s="1062">
        <f t="shared" si="1"/>
        <v>16</v>
      </c>
      <c r="B27" s="468">
        <v>9310</v>
      </c>
      <c r="C27" s="1" t="s">
        <v>189</v>
      </c>
      <c r="D27" s="123">
        <f>VLOOKUP($B27,'[12]Div 12 forecast'!$D$163:$AF$239,18,FALSE)</f>
        <v>133436.7835999633</v>
      </c>
      <c r="E27" s="123">
        <f>VLOOKUP($B27,'[12]Div 12 forecast'!$D$163:$AF$239,19,FALSE)</f>
        <v>137342.05169905399</v>
      </c>
      <c r="F27" s="123">
        <f>VLOOKUP($B27,'[12]Div 12 forecast'!$D$163:$AF$239,20,FALSE)</f>
        <v>139577.75077950335</v>
      </c>
      <c r="G27" s="123">
        <f>VLOOKUP($B27,'[12]Div 12 forecast'!$D$163:$AF$239,21,FALSE)</f>
        <v>138231.39055978524</v>
      </c>
      <c r="H27" s="123">
        <f>VLOOKUP($B27,'[12]Div 12 forecast'!$D$163:$AF$239,22,FALSE)</f>
        <v>138182.07091391427</v>
      </c>
      <c r="I27" s="123">
        <f>VLOOKUP($B27,'[12]Div 12 forecast'!$D$163:$AF$239,23,FALSE)</f>
        <v>151047.2027226068</v>
      </c>
      <c r="J27" s="123">
        <f>VLOOKUP($B27,'[12]Div 12 forecast'!$D$163:$AF$239,24,FALSE)</f>
        <v>137376.75824928418</v>
      </c>
      <c r="K27" s="123">
        <f>VLOOKUP($B27,'[12]Div 12 forecast'!$D$163:$AF$239,25,FALSE)</f>
        <v>133211.70401175355</v>
      </c>
      <c r="L27" s="123">
        <f>VLOOKUP($B27,'[12]Div 12 forecast'!$D$163:$AF$239,26,FALSE)</f>
        <v>133313.26431375064</v>
      </c>
      <c r="M27" s="123">
        <f>VLOOKUP($B27,'[12]Div 12 forecast'!$D$163:$AF$239,27,FALSE)</f>
        <v>139098.7704363009</v>
      </c>
      <c r="N27" s="123">
        <f>VLOOKUP($B27,'[12]Div 12 forecast'!$D$163:$AF$239,28,FALSE)</f>
        <v>138741.25072454085</v>
      </c>
      <c r="O27" s="123">
        <f>VLOOKUP($B27,'[12]Div 12 forecast'!$D$163:$AF$239,29,FALSE)</f>
        <v>133264.54281752231</v>
      </c>
      <c r="P27" s="1">
        <f t="shared" si="0"/>
        <v>1652823.5408279793</v>
      </c>
      <c r="Q27" s="771"/>
    </row>
    <row r="28" spans="1:17">
      <c r="A28" s="1062">
        <f t="shared" si="1"/>
        <v>17</v>
      </c>
      <c r="B28" s="468">
        <v>9320</v>
      </c>
      <c r="C28" s="1" t="s">
        <v>190</v>
      </c>
      <c r="D28" s="123">
        <f>VLOOKUP($B28,'[12]Div 12 forecast'!$D$163:$AF$239,18,FALSE)</f>
        <v>11.381380207247659</v>
      </c>
      <c r="E28" s="123">
        <f>VLOOKUP($B28,'[12]Div 12 forecast'!$D$163:$AF$239,19,FALSE)</f>
        <v>10.356030639027152</v>
      </c>
      <c r="F28" s="123">
        <f>VLOOKUP($B28,'[12]Div 12 forecast'!$D$163:$AF$239,20,FALSE)</f>
        <v>24.710924594114285</v>
      </c>
      <c r="G28" s="123">
        <f>VLOOKUP($B28,'[12]Div 12 forecast'!$D$163:$AF$239,21,FALSE)</f>
        <v>11.381380207247659</v>
      </c>
      <c r="H28" s="123">
        <f>VLOOKUP($B28,'[12]Div 12 forecast'!$D$163:$AF$239,22,FALSE)</f>
        <v>59.470274956789574</v>
      </c>
      <c r="I28" s="123">
        <f>VLOOKUP($B28,'[12]Div 12 forecast'!$D$163:$AF$239,23,FALSE)</f>
        <v>13.432079343688679</v>
      </c>
      <c r="J28" s="123">
        <f>VLOOKUP($B28,'[12]Div 12 forecast'!$D$163:$AF$239,24,FALSE)</f>
        <v>52.395362936068054</v>
      </c>
      <c r="K28" s="123">
        <f>VLOOKUP($B28,'[12]Div 12 forecast'!$D$163:$AF$239,25,FALSE)</f>
        <v>55.984086424839838</v>
      </c>
      <c r="L28" s="123">
        <f>VLOOKUP($B28,'[12]Div 12 forecast'!$D$163:$AF$239,26,FALSE)</f>
        <v>10.356030639027152</v>
      </c>
      <c r="M28" s="123">
        <f>VLOOKUP($B28,'[12]Div 12 forecast'!$D$163:$AF$239,27,FALSE)</f>
        <v>11.381380207247659</v>
      </c>
      <c r="N28" s="123">
        <f>VLOOKUP($B28,'[12]Div 12 forecast'!$D$163:$AF$239,28,FALSE)</f>
        <v>53.420712504288566</v>
      </c>
      <c r="O28" s="123">
        <f>VLOOKUP($B28,'[12]Div 12 forecast'!$D$163:$AF$239,29,FALSE)</f>
        <v>57.727180690814698</v>
      </c>
      <c r="P28" s="1">
        <f t="shared" si="0"/>
        <v>371.99682335040097</v>
      </c>
      <c r="Q28" s="1"/>
    </row>
    <row r="29" spans="1:17">
      <c r="A29" s="1062">
        <f t="shared" si="1"/>
        <v>18</v>
      </c>
      <c r="B29" s="1"/>
      <c r="C29" s="242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1"/>
      <c r="Q29" s="1"/>
    </row>
    <row r="30" spans="1:17" ht="15.75" thickBot="1">
      <c r="A30" s="1062">
        <f t="shared" si="1"/>
        <v>19</v>
      </c>
      <c r="B30" s="1" t="s">
        <v>751</v>
      </c>
      <c r="C30" s="242"/>
      <c r="D30" s="154">
        <f t="shared" ref="D30:P30" si="3">SUM(D12:D29)</f>
        <v>2.2593837911699666E-10</v>
      </c>
      <c r="E30" s="154">
        <f t="shared" si="3"/>
        <v>2.6090951621426939E-10</v>
      </c>
      <c r="F30" s="154">
        <f t="shared" si="3"/>
        <v>4.1744385725905886E-12</v>
      </c>
      <c r="G30" s="154">
        <f t="shared" si="3"/>
        <v>4.0056136185739888E-10</v>
      </c>
      <c r="H30" s="154">
        <f t="shared" si="3"/>
        <v>3.8191672047105385E-11</v>
      </c>
      <c r="I30" s="154">
        <f t="shared" si="3"/>
        <v>6.5076655175744236E-10</v>
      </c>
      <c r="J30" s="154">
        <f t="shared" si="3"/>
        <v>-1.8327739326196024E-10</v>
      </c>
      <c r="K30" s="154">
        <f t="shared" si="3"/>
        <v>2.9025670755800093E-11</v>
      </c>
      <c r="L30" s="154">
        <f t="shared" si="3"/>
        <v>-2.6295943200693728E-10</v>
      </c>
      <c r="M30" s="154">
        <f t="shared" si="3"/>
        <v>5.751843445978011E-10</v>
      </c>
      <c r="N30" s="154">
        <f t="shared" si="3"/>
        <v>-4.219700144858507E-10</v>
      </c>
      <c r="O30" s="154">
        <f t="shared" si="3"/>
        <v>-6.2123461930241319E-10</v>
      </c>
      <c r="P30" s="154">
        <f t="shared" si="3"/>
        <v>-2.3605934984516352E-9</v>
      </c>
      <c r="Q30" s="472"/>
    </row>
    <row r="31" spans="1:17" ht="15.75" thickTop="1">
      <c r="A31" s="1062">
        <f t="shared" si="1"/>
        <v>20</v>
      </c>
      <c r="B31" s="1"/>
      <c r="C31" s="2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7"/>
      <c r="P31" s="1"/>
      <c r="Q31" s="1"/>
    </row>
    <row r="32" spans="1:17">
      <c r="A32" s="1062">
        <f t="shared" si="1"/>
        <v>21</v>
      </c>
      <c r="B32" s="468">
        <f t="shared" ref="B32:O32" si="4">B22</f>
        <v>9220</v>
      </c>
      <c r="C32" s="1" t="str">
        <f t="shared" si="4"/>
        <v>A&amp;G-Administrative expense transferred-Credit</v>
      </c>
      <c r="D32" s="1">
        <f t="shared" si="4"/>
        <v>-4239140.2299999995</v>
      </c>
      <c r="E32" s="1">
        <f t="shared" si="4"/>
        <v>-4224786.16</v>
      </c>
      <c r="F32" s="1">
        <f t="shared" si="4"/>
        <v>-4389294.83</v>
      </c>
      <c r="G32" s="1">
        <f t="shared" si="4"/>
        <v>-4200956.63</v>
      </c>
      <c r="H32" s="1">
        <f t="shared" si="4"/>
        <v>-4458144.8132436816</v>
      </c>
      <c r="I32" s="1">
        <f t="shared" si="4"/>
        <v>-4260830.5182641707</v>
      </c>
      <c r="J32" s="1">
        <f t="shared" si="4"/>
        <v>-4645505.6441576201</v>
      </c>
      <c r="K32" s="1">
        <f t="shared" si="4"/>
        <v>-4272414.5782641713</v>
      </c>
      <c r="L32" s="1">
        <f t="shared" si="4"/>
        <v>-4202860.1482641716</v>
      </c>
      <c r="M32" s="1">
        <f t="shared" si="4"/>
        <v>-4573649.694157619</v>
      </c>
      <c r="N32" s="1">
        <f t="shared" si="4"/>
        <v>-4282075.9882641714</v>
      </c>
      <c r="O32" s="1">
        <f t="shared" si="4"/>
        <v>-4460128.1232436821</v>
      </c>
      <c r="P32" s="1">
        <f>SUM(D32:O32)</f>
        <v>-52209787.357859291</v>
      </c>
      <c r="Q32" s="1"/>
    </row>
    <row r="33" spans="1:17">
      <c r="A33" s="1062">
        <f t="shared" si="1"/>
        <v>22</v>
      </c>
      <c r="B33" s="1"/>
      <c r="C33" s="1" t="s">
        <v>200</v>
      </c>
      <c r="D33" s="215">
        <f>Allocation!$E$15</f>
        <v>5.712253040952902E-2</v>
      </c>
      <c r="E33" s="215">
        <f>D33</f>
        <v>5.712253040952902E-2</v>
      </c>
      <c r="F33" s="215">
        <f t="shared" ref="F33:O33" si="5">E33</f>
        <v>5.712253040952902E-2</v>
      </c>
      <c r="G33" s="215">
        <f t="shared" si="5"/>
        <v>5.712253040952902E-2</v>
      </c>
      <c r="H33" s="215">
        <f t="shared" si="5"/>
        <v>5.712253040952902E-2</v>
      </c>
      <c r="I33" s="215">
        <f t="shared" si="5"/>
        <v>5.712253040952902E-2</v>
      </c>
      <c r="J33" s="215">
        <f t="shared" si="5"/>
        <v>5.712253040952902E-2</v>
      </c>
      <c r="K33" s="215">
        <f t="shared" si="5"/>
        <v>5.712253040952902E-2</v>
      </c>
      <c r="L33" s="215">
        <f t="shared" si="5"/>
        <v>5.712253040952902E-2</v>
      </c>
      <c r="M33" s="215">
        <f t="shared" si="5"/>
        <v>5.712253040952902E-2</v>
      </c>
      <c r="N33" s="215">
        <f t="shared" si="5"/>
        <v>5.712253040952902E-2</v>
      </c>
      <c r="O33" s="215">
        <f t="shared" si="5"/>
        <v>5.712253040952902E-2</v>
      </c>
      <c r="P33" s="1129">
        <f>P34/P32</f>
        <v>5.7122530409529013E-2</v>
      </c>
      <c r="Q33" s="683"/>
    </row>
    <row r="34" spans="1:17">
      <c r="A34" s="1062">
        <f t="shared" si="1"/>
        <v>23</v>
      </c>
      <c r="B34" s="1"/>
      <c r="C34" s="1" t="s">
        <v>215</v>
      </c>
      <c r="D34" s="1">
        <f>D32*D33</f>
        <v>-242150.41669843282</v>
      </c>
      <c r="E34" s="1">
        <f t="shared" ref="E34:O34" si="6">E32*E33</f>
        <v>-241330.47589835734</v>
      </c>
      <c r="F34" s="1">
        <f t="shared" si="6"/>
        <v>-250727.62740306352</v>
      </c>
      <c r="G34" s="1">
        <f t="shared" si="6"/>
        <v>-239969.27284628755</v>
      </c>
      <c r="H34" s="1">
        <f t="shared" si="6"/>
        <v>-254660.51266459626</v>
      </c>
      <c r="I34" s="1">
        <f t="shared" si="6"/>
        <v>-243389.42084939437</v>
      </c>
      <c r="J34" s="1">
        <f t="shared" si="6"/>
        <v>-265363.03742603236</v>
      </c>
      <c r="K34" s="1">
        <f t="shared" si="6"/>
        <v>-244051.13166901021</v>
      </c>
      <c r="L34" s="1">
        <f t="shared" si="6"/>
        <v>-240078.00662621777</v>
      </c>
      <c r="M34" s="1">
        <f t="shared" si="6"/>
        <v>-261258.44373705168</v>
      </c>
      <c r="N34" s="1">
        <f t="shared" si="6"/>
        <v>-244603.01585553415</v>
      </c>
      <c r="O34" s="1">
        <f t="shared" si="6"/>
        <v>-254773.80435038282</v>
      </c>
      <c r="P34" s="1">
        <f>SUM(D34:O34)</f>
        <v>-2982355.1660243608</v>
      </c>
      <c r="Q34" s="68"/>
    </row>
    <row r="35" spans="1:17">
      <c r="A35" s="1"/>
      <c r="B35" s="1"/>
      <c r="C35" s="24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0"/>
      <c r="P35" s="249"/>
      <c r="Q35" s="1"/>
    </row>
    <row r="36" spans="1:17">
      <c r="A36" s="1"/>
      <c r="B36" s="1" t="s">
        <v>578</v>
      </c>
      <c r="C36" s="24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0"/>
      <c r="P36" s="47"/>
      <c r="Q36" s="1"/>
    </row>
    <row r="37" spans="1:17">
      <c r="A37" s="1"/>
      <c r="B37" s="1"/>
      <c r="C37" s="24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"/>
    </row>
    <row r="38" spans="1:17">
      <c r="A38" s="1"/>
      <c r="B38" s="1"/>
      <c r="C38" s="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100"/>
      <c r="P38" s="47"/>
      <c r="Q38" s="47"/>
    </row>
    <row r="39" spans="1:17">
      <c r="A39" s="1"/>
      <c r="B39" s="1"/>
      <c r="C39" s="49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00"/>
      <c r="P39" s="47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 t="s">
        <v>972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7"/>
      <c r="Q41" s="1"/>
    </row>
    <row r="42" spans="1:17">
      <c r="A42" s="1"/>
      <c r="B42" s="1" t="s">
        <v>1397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00"/>
      <c r="P43" s="47"/>
      <c r="Q43" s="1"/>
    </row>
    <row r="44" spans="1:17">
      <c r="A44" s="1"/>
    </row>
    <row r="45" spans="1:17">
      <c r="A45" s="1"/>
    </row>
  </sheetData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3"/>
  <sheetViews>
    <sheetView view="pageBreakPreview" zoomScale="60" zoomScaleNormal="75" workbookViewId="0">
      <pane xSplit="3" ySplit="11" topLeftCell="D12" activePane="bottomRight" state="frozen"/>
      <selection activeCell="E55" sqref="E55"/>
      <selection pane="topRight" activeCell="E55" sqref="E55"/>
      <selection pane="bottomLeft" activeCell="E55" sqref="E55"/>
      <selection pane="bottomRight" activeCell="G23" sqref="G23"/>
    </sheetView>
  </sheetViews>
  <sheetFormatPr defaultColWidth="7.109375" defaultRowHeight="15"/>
  <cols>
    <col min="1" max="1" width="4.664062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0" customWidth="1"/>
    <col min="15" max="15" width="10.77734375" customWidth="1"/>
    <col min="16" max="16" width="12.44140625" customWidth="1"/>
    <col min="17" max="17" width="12.5546875" customWidth="1"/>
    <col min="19" max="19" width="8.109375" customWidth="1"/>
    <col min="20" max="20" width="8.77734375" customWidth="1"/>
  </cols>
  <sheetData>
    <row r="1" spans="1:18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259"/>
      <c r="Q1" s="1"/>
    </row>
    <row r="2" spans="1:18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"/>
    </row>
    <row r="3" spans="1:18" ht="15.75">
      <c r="A3" s="1259" t="s">
        <v>195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259"/>
      <c r="Q3" s="1"/>
    </row>
    <row r="4" spans="1:18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59"/>
      <c r="Q4" s="1"/>
    </row>
    <row r="5" spans="1:18">
      <c r="A5" s="1"/>
      <c r="B5" s="40"/>
      <c r="C5" s="40"/>
      <c r="D5" s="40"/>
      <c r="E5" s="40"/>
      <c r="F5" s="40"/>
      <c r="G5" s="275"/>
      <c r="H5" s="40"/>
      <c r="I5" s="40"/>
      <c r="J5" s="40"/>
      <c r="K5" s="40"/>
      <c r="L5" s="40"/>
      <c r="M5" s="40"/>
      <c r="N5" s="40"/>
      <c r="O5" s="206"/>
      <c r="P5" s="1"/>
      <c r="Q5" s="1"/>
    </row>
    <row r="6" spans="1:18">
      <c r="A6" s="4" t="str">
        <f>'C.2.1 F'!A6</f>
        <v>Data:________Base Period___X____Forecasted Period</v>
      </c>
      <c r="B6" s="79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79"/>
      <c r="O6" s="79"/>
      <c r="P6" s="233" t="s">
        <v>1524</v>
      </c>
      <c r="Q6" s="1"/>
    </row>
    <row r="7" spans="1:18" ht="15.75">
      <c r="A7" s="4" t="str">
        <f>'C.2.1 F'!A7</f>
        <v>Type of Filing:___X____Original________Updated ________Revised</v>
      </c>
      <c r="B7" s="79"/>
      <c r="C7" s="4"/>
      <c r="D7" s="1"/>
      <c r="E7" s="1"/>
      <c r="F7" s="772"/>
      <c r="G7" s="1"/>
      <c r="H7" s="1"/>
      <c r="I7" s="1"/>
      <c r="J7" s="1"/>
      <c r="K7" s="1"/>
      <c r="L7" s="1"/>
      <c r="M7" s="1"/>
      <c r="N7" s="79"/>
      <c r="O7" s="79"/>
      <c r="P7" s="673" t="s">
        <v>38</v>
      </c>
      <c r="Q7" s="1"/>
    </row>
    <row r="8" spans="1:18">
      <c r="A8" s="73" t="str">
        <f>'C.2.1 F'!A8</f>
        <v>Workpaper Reference No(s).____________________</v>
      </c>
      <c r="B8" s="463"/>
      <c r="C8" s="5"/>
      <c r="D8" s="6"/>
      <c r="E8" s="6"/>
      <c r="F8" s="6"/>
      <c r="G8" s="6"/>
      <c r="H8" s="6"/>
      <c r="I8" s="6"/>
      <c r="J8" s="6"/>
      <c r="K8" s="6"/>
      <c r="L8" s="6"/>
      <c r="M8" s="45"/>
      <c r="N8" s="463"/>
      <c r="O8" s="463"/>
      <c r="P8" s="674" t="str">
        <f>C.1!J9</f>
        <v>Witness: Waller, Smith</v>
      </c>
      <c r="Q8" s="1"/>
    </row>
    <row r="9" spans="1:18">
      <c r="A9" s="326" t="s">
        <v>98</v>
      </c>
      <c r="B9" s="85" t="s">
        <v>105</v>
      </c>
      <c r="C9" s="465"/>
      <c r="D9" s="473" t="s">
        <v>44</v>
      </c>
      <c r="E9" s="76" t="s">
        <v>44</v>
      </c>
      <c r="F9" s="76" t="s">
        <v>44</v>
      </c>
      <c r="G9" s="76" t="s">
        <v>44</v>
      </c>
      <c r="H9" s="76" t="s">
        <v>44</v>
      </c>
      <c r="I9" s="76" t="s">
        <v>44</v>
      </c>
      <c r="J9" s="76" t="s">
        <v>44</v>
      </c>
      <c r="K9" s="76" t="s">
        <v>44</v>
      </c>
      <c r="L9" s="76" t="s">
        <v>44</v>
      </c>
      <c r="M9" s="76" t="s">
        <v>44</v>
      </c>
      <c r="N9" s="76" t="s">
        <v>44</v>
      </c>
      <c r="O9" s="76" t="s">
        <v>44</v>
      </c>
      <c r="P9" s="475"/>
      <c r="Q9" s="1"/>
    </row>
    <row r="10" spans="1:18">
      <c r="A10" s="253" t="s">
        <v>104</v>
      </c>
      <c r="B10" s="45" t="s">
        <v>104</v>
      </c>
      <c r="C10" s="466" t="s">
        <v>971</v>
      </c>
      <c r="D10" s="450">
        <f>'C.2.2-F 09'!D10</f>
        <v>42551</v>
      </c>
      <c r="E10" s="450">
        <f>'C.2.2-F 09'!F10</f>
        <v>42613</v>
      </c>
      <c r="F10" s="450">
        <f>'C.2.2-F 09'!F10</f>
        <v>42613</v>
      </c>
      <c r="G10" s="450">
        <f>'C.2.2-F 09'!G10</f>
        <v>42643</v>
      </c>
      <c r="H10" s="450">
        <f>'C.2.2-F 09'!H10</f>
        <v>42674</v>
      </c>
      <c r="I10" s="450">
        <f>'C.2.2-F 09'!I10</f>
        <v>42704</v>
      </c>
      <c r="J10" s="450">
        <f>'C.2.2-F 09'!J10</f>
        <v>42735</v>
      </c>
      <c r="K10" s="450">
        <f>'C.2.2-F 09'!K10</f>
        <v>42766</v>
      </c>
      <c r="L10" s="450">
        <f>'C.2.2-F 09'!L10</f>
        <v>42794</v>
      </c>
      <c r="M10" s="450">
        <f>'C.2.2-F 09'!M10</f>
        <v>42825</v>
      </c>
      <c r="N10" s="450">
        <f>'C.2.2-F 09'!N10</f>
        <v>42855</v>
      </c>
      <c r="O10" s="450">
        <f>'C.2.2-F 09'!O10</f>
        <v>42886</v>
      </c>
      <c r="P10" s="476" t="str">
        <f>'C.2.2 B 09'!P10</f>
        <v>Total</v>
      </c>
      <c r="Q10" s="299"/>
    </row>
    <row r="11" spans="1:18">
      <c r="A11" s="1"/>
      <c r="B11" s="1"/>
      <c r="C11" s="1"/>
      <c r="D11" s="2" t="s">
        <v>151</v>
      </c>
      <c r="E11" s="2" t="s">
        <v>151</v>
      </c>
      <c r="F11" s="2" t="s">
        <v>151</v>
      </c>
      <c r="G11" s="2" t="s">
        <v>151</v>
      </c>
      <c r="H11" s="2" t="s">
        <v>151</v>
      </c>
      <c r="I11" s="2" t="s">
        <v>151</v>
      </c>
      <c r="J11" s="2" t="s">
        <v>151</v>
      </c>
      <c r="K11" s="2" t="s">
        <v>151</v>
      </c>
      <c r="L11" s="2" t="s">
        <v>151</v>
      </c>
      <c r="M11" s="2" t="s">
        <v>151</v>
      </c>
      <c r="N11" s="2" t="s">
        <v>151</v>
      </c>
      <c r="O11" s="160" t="s">
        <v>151</v>
      </c>
      <c r="P11" s="2" t="s">
        <v>151</v>
      </c>
      <c r="Q11" s="2"/>
    </row>
    <row r="12" spans="1:18">
      <c r="A12" s="77">
        <v>1</v>
      </c>
      <c r="B12" s="468">
        <v>4030</v>
      </c>
      <c r="C12" s="1" t="s">
        <v>96</v>
      </c>
      <c r="D12" s="520">
        <v>0</v>
      </c>
      <c r="E12" s="520">
        <v>0</v>
      </c>
      <c r="F12" s="520">
        <v>0</v>
      </c>
      <c r="G12" s="520">
        <v>0</v>
      </c>
      <c r="H12" s="520">
        <v>0</v>
      </c>
      <c r="I12" s="520">
        <v>0</v>
      </c>
      <c r="J12" s="520">
        <v>0</v>
      </c>
      <c r="K12" s="520">
        <v>0</v>
      </c>
      <c r="L12" s="520">
        <v>0</v>
      </c>
      <c r="M12" s="520">
        <v>0</v>
      </c>
      <c r="N12" s="520">
        <v>0</v>
      </c>
      <c r="O12" s="520">
        <v>0</v>
      </c>
      <c r="P12" s="394">
        <f t="shared" ref="P12:P46" si="0">SUM(D12:O12)</f>
        <v>0</v>
      </c>
      <c r="Q12" s="1"/>
    </row>
    <row r="13" spans="1:18" s="1058" customFormat="1">
      <c r="A13" s="1062">
        <f>A12+1</f>
        <v>2</v>
      </c>
      <c r="B13" s="396">
        <v>4060</v>
      </c>
      <c r="C13" s="60" t="s">
        <v>879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394"/>
      <c r="Q13" s="1"/>
    </row>
    <row r="14" spans="1:18">
      <c r="A14" s="1122">
        <f t="shared" ref="A14:A52" si="1">A13+1</f>
        <v>3</v>
      </c>
      <c r="B14" s="468">
        <v>4081</v>
      </c>
      <c r="C14" s="1" t="s">
        <v>880</v>
      </c>
      <c r="D14" s="520">
        <v>0</v>
      </c>
      <c r="E14" s="520">
        <v>0</v>
      </c>
      <c r="F14" s="520">
        <v>0</v>
      </c>
      <c r="G14" s="520">
        <v>0</v>
      </c>
      <c r="H14" s="520">
        <v>0</v>
      </c>
      <c r="I14" s="520">
        <v>0</v>
      </c>
      <c r="J14" s="520">
        <v>0</v>
      </c>
      <c r="K14" s="520">
        <v>0</v>
      </c>
      <c r="L14" s="520">
        <v>0</v>
      </c>
      <c r="M14" s="520">
        <v>0</v>
      </c>
      <c r="N14" s="520">
        <v>0</v>
      </c>
      <c r="O14" s="520">
        <v>0</v>
      </c>
      <c r="P14" s="394">
        <f t="shared" si="0"/>
        <v>0</v>
      </c>
      <c r="Q14" s="1"/>
    </row>
    <row r="15" spans="1:18">
      <c r="A15" s="1122">
        <f t="shared" si="1"/>
        <v>4</v>
      </c>
      <c r="B15" s="468">
        <v>8170</v>
      </c>
      <c r="C15" s="1" t="s">
        <v>905</v>
      </c>
      <c r="D15" s="123">
        <f>VLOOKUP($B15,'[12]Div 91 forecast'!$D$247:$AF$326,18,FALSE)</f>
        <v>43.397317079154668</v>
      </c>
      <c r="E15" s="123">
        <f>VLOOKUP($B15,'[12]Div 91 forecast'!$D$247:$AF$326,19,FALSE)</f>
        <v>42.787408038999693</v>
      </c>
      <c r="F15" s="123">
        <f>VLOOKUP($B15,'[12]Div 91 forecast'!$D$247:$AF$326,20,FALSE)</f>
        <v>43.25477653943306</v>
      </c>
      <c r="G15" s="123">
        <f>VLOOKUP($B15,'[12]Div 91 forecast'!$D$247:$AF$326,21,FALSE)</f>
        <v>42.019827232598821</v>
      </c>
      <c r="H15" s="123">
        <f>VLOOKUP($B15,'[12]Div 91 forecast'!$D$247:$AF$326,22,FALSE)</f>
        <v>40.632852957823019</v>
      </c>
      <c r="I15" s="123">
        <f>VLOOKUP($B15,'[12]Div 91 forecast'!$D$247:$AF$326,23,FALSE)</f>
        <v>41.089256801354722</v>
      </c>
      <c r="J15" s="123">
        <f>VLOOKUP($B15,'[12]Div 91 forecast'!$D$247:$AF$326,24,FALSE)</f>
        <v>44.444441813263438</v>
      </c>
      <c r="K15" s="123">
        <f>VLOOKUP($B15,'[12]Div 91 forecast'!$D$247:$AF$326,25,FALSE)</f>
        <v>47.069106559098891</v>
      </c>
      <c r="L15" s="123">
        <f>VLOOKUP($B15,'[12]Div 91 forecast'!$D$247:$AF$326,26,FALSE)</f>
        <v>48.143642935461813</v>
      </c>
      <c r="M15" s="123">
        <f>VLOOKUP($B15,'[12]Div 91 forecast'!$D$247:$AF$326,27,FALSE)</f>
        <v>48.997515591678777</v>
      </c>
      <c r="N15" s="123">
        <f>VLOOKUP($B15,'[12]Div 91 forecast'!$D$247:$AF$326,28,FALSE)</f>
        <v>49.351125776757392</v>
      </c>
      <c r="O15" s="123">
        <f>VLOOKUP($B15,'[12]Div 91 forecast'!$D$247:$AF$326,29,FALSE)</f>
        <v>45.121509376941091</v>
      </c>
      <c r="P15" s="1">
        <f t="shared" si="0"/>
        <v>536.3087807025654</v>
      </c>
      <c r="Q15" s="1"/>
      <c r="R15" s="468"/>
    </row>
    <row r="16" spans="1:18">
      <c r="A16" s="1122">
        <f t="shared" si="1"/>
        <v>5</v>
      </c>
      <c r="B16" s="468">
        <v>8180</v>
      </c>
      <c r="C16" s="1" t="s">
        <v>906</v>
      </c>
      <c r="D16" s="123">
        <f>VLOOKUP($B16,'[12]Div 91 forecast'!$D$247:$AF$326,18,FALSE)</f>
        <v>42.813793657096312</v>
      </c>
      <c r="E16" s="123">
        <f>VLOOKUP($B16,'[12]Div 91 forecast'!$D$247:$AF$326,19,FALSE)</f>
        <v>42.212085497415273</v>
      </c>
      <c r="F16" s="123">
        <f>VLOOKUP($B16,'[12]Div 91 forecast'!$D$247:$AF$326,20,FALSE)</f>
        <v>42.673169727642801</v>
      </c>
      <c r="G16" s="123">
        <f>VLOOKUP($B16,'[12]Div 91 forecast'!$D$247:$AF$326,21,FALSE)</f>
        <v>41.454825637307891</v>
      </c>
      <c r="H16" s="123">
        <f>VLOOKUP($B16,'[12]Div 91 forecast'!$D$247:$AF$326,22,FALSE)</f>
        <v>40.086500717598199</v>
      </c>
      <c r="I16" s="123">
        <f>VLOOKUP($B16,'[12]Div 91 forecast'!$D$247:$AF$326,23,FALSE)</f>
        <v>40.53676772248312</v>
      </c>
      <c r="J16" s="123">
        <f>VLOOKUP($B16,'[12]Div 91 forecast'!$D$247:$AF$326,24,FALSE)</f>
        <v>43.846838677312746</v>
      </c>
      <c r="K16" s="123">
        <f>VLOOKUP($B16,'[12]Div 91 forecast'!$D$247:$AF$326,25,FALSE)</f>
        <v>46.43621199369295</v>
      </c>
      <c r="L16" s="123">
        <f>VLOOKUP($B16,'[12]Div 91 forecast'!$D$247:$AF$326,26,FALSE)</f>
        <v>47.496300077265801</v>
      </c>
      <c r="M16" s="123">
        <f>VLOOKUP($B16,'[12]Div 91 forecast'!$D$247:$AF$326,27,FALSE)</f>
        <v>48.338691500819323</v>
      </c>
      <c r="N16" s="123">
        <f>VLOOKUP($B16,'[12]Div 91 forecast'!$D$247:$AF$326,28,FALSE)</f>
        <v>48.687547018117527</v>
      </c>
      <c r="O16" s="123">
        <f>VLOOKUP($B16,'[12]Div 91 forecast'!$D$247:$AF$326,29,FALSE)</f>
        <v>44.514802342217081</v>
      </c>
      <c r="P16" s="1">
        <f t="shared" si="0"/>
        <v>529.09753456896897</v>
      </c>
      <c r="Q16" s="1"/>
      <c r="R16" s="468"/>
    </row>
    <row r="17" spans="1:18">
      <c r="A17" s="1122">
        <f t="shared" si="1"/>
        <v>6</v>
      </c>
      <c r="B17" s="468">
        <v>8190</v>
      </c>
      <c r="C17" s="1" t="s">
        <v>907</v>
      </c>
      <c r="D17" s="123">
        <f>VLOOKUP($B17,'[12]Div 91 forecast'!$D$247:$AF$326,18,FALSE)</f>
        <v>530.62326495554078</v>
      </c>
      <c r="E17" s="123">
        <f>VLOOKUP($B17,'[12]Div 91 forecast'!$D$247:$AF$326,19,FALSE)</f>
        <v>523.16584712432677</v>
      </c>
      <c r="F17" s="123">
        <f>VLOOKUP($B17,'[12]Div 91 forecast'!$D$247:$AF$326,20,FALSE)</f>
        <v>528.88040775453794</v>
      </c>
      <c r="G17" s="123">
        <f>VLOOKUP($B17,'[12]Div 91 forecast'!$D$247:$AF$326,21,FALSE)</f>
        <v>513.78056109692682</v>
      </c>
      <c r="H17" s="123">
        <f>VLOOKUP($B17,'[12]Div 91 forecast'!$D$247:$AF$326,22,FALSE)</f>
        <v>496.82189020147672</v>
      </c>
      <c r="I17" s="123">
        <f>VLOOKUP($B17,'[12]Div 91 forecast'!$D$247:$AF$326,23,FALSE)</f>
        <v>502.40238489314919</v>
      </c>
      <c r="J17" s="123">
        <f>VLOOKUP($B17,'[12]Div 91 forecast'!$D$247:$AF$326,24,FALSE)</f>
        <v>543.42656208598441</v>
      </c>
      <c r="K17" s="123">
        <f>VLOOKUP($B17,'[12]Div 91 forecast'!$D$247:$AF$326,25,FALSE)</f>
        <v>575.51859612368037</v>
      </c>
      <c r="L17" s="123">
        <f>VLOOKUP($B17,'[12]Div 91 forecast'!$D$247:$AF$326,26,FALSE)</f>
        <v>588.65705810047075</v>
      </c>
      <c r="M17" s="123">
        <f>VLOOKUP($B17,'[12]Div 91 forecast'!$D$247:$AF$326,27,FALSE)</f>
        <v>599.09744306417019</v>
      </c>
      <c r="N17" s="123">
        <f>VLOOKUP($B17,'[12]Div 91 forecast'!$D$247:$AF$326,28,FALSE)</f>
        <v>603.42106958204249</v>
      </c>
      <c r="O17" s="123">
        <f>VLOOKUP($B17,'[12]Div 91 forecast'!$D$247:$AF$326,29,FALSE)</f>
        <v>551.70513379074771</v>
      </c>
      <c r="P17" s="1">
        <f t="shared" si="0"/>
        <v>6557.5002187730543</v>
      </c>
      <c r="Q17" s="1"/>
      <c r="R17" s="468"/>
    </row>
    <row r="18" spans="1:18">
      <c r="A18" s="1122">
        <f t="shared" si="1"/>
        <v>7</v>
      </c>
      <c r="B18" s="468">
        <v>8210</v>
      </c>
      <c r="C18" s="1" t="s">
        <v>909</v>
      </c>
      <c r="D18" s="123">
        <f>VLOOKUP($B18,'[12]Div 91 forecast'!$D$247:$AF$326,18,FALSE)</f>
        <v>253.69128261273127</v>
      </c>
      <c r="E18" s="123">
        <f>VLOOKUP($B18,'[12]Div 91 forecast'!$D$247:$AF$326,19,FALSE)</f>
        <v>250.12588693650093</v>
      </c>
      <c r="F18" s="123">
        <f>VLOOKUP($B18,'[12]Div 91 forecast'!$D$247:$AF$326,20,FALSE)</f>
        <v>252.85802160075835</v>
      </c>
      <c r="G18" s="123">
        <f>VLOOKUP($B18,'[12]Div 91 forecast'!$D$247:$AF$326,21,FALSE)</f>
        <v>245.63877638702672</v>
      </c>
      <c r="H18" s="123">
        <f>VLOOKUP($B18,'[12]Div 91 forecast'!$D$247:$AF$326,22,FALSE)</f>
        <v>237.53082625552543</v>
      </c>
      <c r="I18" s="123">
        <f>VLOOKUP($B18,'[12]Div 91 forecast'!$D$247:$AF$326,23,FALSE)</f>
        <v>240.19886391886183</v>
      </c>
      <c r="J18" s="123">
        <f>VLOOKUP($B18,'[12]Div 91 forecast'!$D$247:$AF$326,24,FALSE)</f>
        <v>259.81254620068631</v>
      </c>
      <c r="K18" s="123">
        <f>VLOOKUP($B18,'[12]Div 91 forecast'!$D$247:$AF$326,25,FALSE)</f>
        <v>275.15576579614947</v>
      </c>
      <c r="L18" s="123">
        <f>VLOOKUP($B18,'[12]Div 91 forecast'!$D$247:$AF$326,26,FALSE)</f>
        <v>281.43727188640696</v>
      </c>
      <c r="M18" s="123">
        <f>VLOOKUP($B18,'[12]Div 91 forecast'!$D$247:$AF$326,27,FALSE)</f>
        <v>286.42882583312945</v>
      </c>
      <c r="N18" s="123">
        <f>VLOOKUP($B18,'[12]Div 91 forecast'!$D$247:$AF$326,28,FALSE)</f>
        <v>288.49595411283155</v>
      </c>
      <c r="O18" s="123">
        <f>VLOOKUP($B18,'[12]Div 91 forecast'!$D$247:$AF$326,29,FALSE)</f>
        <v>263.77053600755772</v>
      </c>
      <c r="P18" s="1">
        <f t="shared" si="0"/>
        <v>3135.1445575481657</v>
      </c>
      <c r="Q18" s="1"/>
      <c r="R18" s="468"/>
    </row>
    <row r="19" spans="1:18">
      <c r="A19" s="1122">
        <f t="shared" si="1"/>
        <v>8</v>
      </c>
      <c r="B19" s="468">
        <v>8240</v>
      </c>
      <c r="C19" s="1" t="s">
        <v>910</v>
      </c>
      <c r="D19" s="123">
        <f>VLOOKUP($B19,'[12]Div 91 forecast'!$D$247:$AF$326,18,FALSE)</f>
        <v>21.101710498913359</v>
      </c>
      <c r="E19" s="123">
        <f>VLOOKUP($B19,'[12]Div 91 forecast'!$D$247:$AF$326,19,FALSE)</f>
        <v>20.805145529872856</v>
      </c>
      <c r="F19" s="123">
        <f>VLOOKUP($B19,'[12]Div 91 forecast'!$D$247:$AF$326,20,FALSE)</f>
        <v>21.032400933115127</v>
      </c>
      <c r="G19" s="123">
        <f>VLOOKUP($B19,'[12]Div 91 forecast'!$D$247:$AF$326,21,FALSE)</f>
        <v>20.431913518049392</v>
      </c>
      <c r="H19" s="123">
        <f>VLOOKUP($B19,'[12]Div 91 forecast'!$D$247:$AF$326,22,FALSE)</f>
        <v>19.757504785307304</v>
      </c>
      <c r="I19" s="123">
        <f>VLOOKUP($B19,'[12]Div 91 forecast'!$D$247:$AF$326,23,FALSE)</f>
        <v>19.979428683488173</v>
      </c>
      <c r="J19" s="123">
        <f>VLOOKUP($B19,'[12]Div 91 forecast'!$D$247:$AF$326,24,FALSE)</f>
        <v>21.610869232277278</v>
      </c>
      <c r="K19" s="123">
        <f>VLOOKUP($B19,'[12]Div 91 forecast'!$D$247:$AF$326,25,FALSE)</f>
        <v>22.887098256350455</v>
      </c>
      <c r="L19" s="123">
        <f>VLOOKUP($B19,'[12]Div 91 forecast'!$D$247:$AF$326,26,FALSE)</f>
        <v>23.409585752367878</v>
      </c>
      <c r="M19" s="123">
        <f>VLOOKUP($B19,'[12]Div 91 forecast'!$D$247:$AF$326,27,FALSE)</f>
        <v>23.824776709024583</v>
      </c>
      <c r="N19" s="123">
        <f>VLOOKUP($B19,'[12]Div 91 forecast'!$D$247:$AF$326,28,FALSE)</f>
        <v>23.996717747254809</v>
      </c>
      <c r="O19" s="123">
        <f>VLOOKUP($B19,'[12]Div 91 forecast'!$D$247:$AF$326,29,FALSE)</f>
        <v>21.940089669818871</v>
      </c>
      <c r="P19" s="1">
        <f t="shared" si="0"/>
        <v>260.77724131584012</v>
      </c>
      <c r="Q19" s="1"/>
      <c r="R19" s="468"/>
    </row>
    <row r="20" spans="1:18">
      <c r="A20" s="1122">
        <f t="shared" si="1"/>
        <v>9</v>
      </c>
      <c r="B20" s="468">
        <v>8250</v>
      </c>
      <c r="C20" s="1" t="s">
        <v>922</v>
      </c>
      <c r="D20" s="123">
        <f>VLOOKUP($B20,'[12]Div 91 forecast'!$D$247:$AF$326,18,FALSE)</f>
        <v>1892.6349501073055</v>
      </c>
      <c r="E20" s="123">
        <f>VLOOKUP($B20,'[12]Div 91 forecast'!$D$247:$AF$326,19,FALSE)</f>
        <v>1866.0357213190778</v>
      </c>
      <c r="F20" s="123">
        <f>VLOOKUP($B20,'[12]Div 91 forecast'!$D$247:$AF$326,20,FALSE)</f>
        <v>1886.4185011320792</v>
      </c>
      <c r="G20" s="123">
        <f>VLOOKUP($B20,'[12]Div 91 forecast'!$D$247:$AF$326,21,FALSE)</f>
        <v>1832.5601435874844</v>
      </c>
      <c r="H20" s="123">
        <f>VLOOKUP($B20,'[12]Div 91 forecast'!$D$247:$AF$326,22,FALSE)</f>
        <v>1772.0717041166185</v>
      </c>
      <c r="I20" s="123">
        <f>VLOOKUP($B20,'[12]Div 91 forecast'!$D$247:$AF$326,23,FALSE)</f>
        <v>1791.9762955469105</v>
      </c>
      <c r="J20" s="123">
        <f>VLOOKUP($B20,'[12]Div 91 forecast'!$D$247:$AF$326,24,FALSE)</f>
        <v>1938.3019406560832</v>
      </c>
      <c r="K20" s="123">
        <f>VLOOKUP($B20,'[12]Div 91 forecast'!$D$247:$AF$326,25,FALSE)</f>
        <v>2052.7682847672213</v>
      </c>
      <c r="L20" s="123">
        <f>VLOOKUP($B20,'[12]Div 91 forecast'!$D$247:$AF$326,26,FALSE)</f>
        <v>2099.6307462727736</v>
      </c>
      <c r="M20" s="123">
        <f>VLOOKUP($B20,'[12]Div 91 forecast'!$D$247:$AF$326,27,FALSE)</f>
        <v>2136.8696665762923</v>
      </c>
      <c r="N20" s="123">
        <f>VLOOKUP($B20,'[12]Div 91 forecast'!$D$247:$AF$326,28,FALSE)</f>
        <v>2152.2912419186805</v>
      </c>
      <c r="O20" s="123">
        <f>VLOOKUP($B20,'[12]Div 91 forecast'!$D$247:$AF$326,29,FALSE)</f>
        <v>1967.8300732884081</v>
      </c>
      <c r="P20" s="1">
        <f t="shared" si="0"/>
        <v>23389.389269288935</v>
      </c>
      <c r="Q20" s="1"/>
      <c r="R20" s="468"/>
    </row>
    <row r="21" spans="1:18">
      <c r="A21" s="1122">
        <f t="shared" si="1"/>
        <v>10</v>
      </c>
      <c r="B21" s="468">
        <v>8560</v>
      </c>
      <c r="C21" s="1" t="s">
        <v>928</v>
      </c>
      <c r="D21" s="123">
        <f>VLOOKUP($B21,'[12]Div 91 forecast'!$D$247:$AF$326,18,FALSE)</f>
        <v>180.53474797225684</v>
      </c>
      <c r="E21" s="123">
        <f>VLOOKUP($B21,'[12]Div 91 forecast'!$D$247:$AF$326,19,FALSE)</f>
        <v>185.05508232658852</v>
      </c>
      <c r="F21" s="123">
        <f>VLOOKUP($B21,'[12]Div 91 forecast'!$D$247:$AF$326,20,FALSE)</f>
        <v>202.49665909877274</v>
      </c>
      <c r="G21" s="123">
        <f>VLOOKUP($B21,'[12]Div 91 forecast'!$D$247:$AF$326,21,FALSE)</f>
        <v>189.56120747297021</v>
      </c>
      <c r="H21" s="123">
        <f>VLOOKUP($B21,'[12]Div 91 forecast'!$D$247:$AF$326,22,FALSE)</f>
        <v>181.45324336972965</v>
      </c>
      <c r="I21" s="123">
        <f>VLOOKUP($B21,'[12]Div 91 forecast'!$D$247:$AF$326,23,FALSE)</f>
        <v>196.93241776361486</v>
      </c>
      <c r="J21" s="123">
        <f>VLOOKUP($B21,'[12]Div 91 forecast'!$D$247:$AF$326,24,FALSE)</f>
        <v>196.81369913695752</v>
      </c>
      <c r="K21" s="123">
        <f>VLOOKUP($B21,'[12]Div 91 forecast'!$D$247:$AF$326,25,FALSE)</f>
        <v>205.62771227041577</v>
      </c>
      <c r="L21" s="123">
        <f>VLOOKUP($B21,'[12]Div 91 forecast'!$D$247:$AF$326,26,FALSE)</f>
        <v>192.82216525906563</v>
      </c>
      <c r="M21" s="123">
        <f>VLOOKUP($B21,'[12]Div 91 forecast'!$D$247:$AF$326,27,FALSE)</f>
        <v>203.85870587958235</v>
      </c>
      <c r="N21" s="123">
        <f>VLOOKUP($B21,'[12]Div 91 forecast'!$D$247:$AF$326,28,FALSE)</f>
        <v>202.1660550187857</v>
      </c>
      <c r="O21" s="123">
        <f>VLOOKUP($B21,'[12]Div 91 forecast'!$D$247:$AF$326,29,FALSE)</f>
        <v>215.43341110941881</v>
      </c>
      <c r="P21" s="1">
        <f t="shared" si="0"/>
        <v>2352.7551066781589</v>
      </c>
      <c r="Q21" s="1"/>
      <c r="R21" s="468"/>
    </row>
    <row r="22" spans="1:18">
      <c r="A22" s="1122">
        <f t="shared" si="1"/>
        <v>11</v>
      </c>
      <c r="B22" s="468">
        <v>8570</v>
      </c>
      <c r="C22" s="1" t="s">
        <v>929</v>
      </c>
      <c r="D22" s="123">
        <f>VLOOKUP($B22,'[12]Div 91 forecast'!$D$247:$AF$326,18,FALSE)</f>
        <v>86.792844209161913</v>
      </c>
      <c r="E22" s="123">
        <f>VLOOKUP($B22,'[12]Div 91 forecast'!$D$247:$AF$326,19,FALSE)</f>
        <v>85.573051284927033</v>
      </c>
      <c r="F22" s="123">
        <f>VLOOKUP($B22,'[12]Div 91 forecast'!$D$247:$AF$326,20,FALSE)</f>
        <v>86.507769008891287</v>
      </c>
      <c r="G22" s="123">
        <f>VLOOKUP($B22,'[12]Div 91 forecast'!$D$247:$AF$326,21,FALSE)</f>
        <v>84.037921331469747</v>
      </c>
      <c r="H22" s="123">
        <f>VLOOKUP($B22,'[12]Div 91 forecast'!$D$247:$AF$326,22,FALSE)</f>
        <v>81.264029988528776</v>
      </c>
      <c r="I22" s="123">
        <f>VLOOKUP($B22,'[12]Div 91 forecast'!$D$247:$AF$326,23,FALSE)</f>
        <v>82.176818850933742</v>
      </c>
      <c r="J22" s="123">
        <f>VLOOKUP($B22,'[12]Div 91 forecast'!$D$247:$AF$326,24,FALSE)</f>
        <v>88.887050488073015</v>
      </c>
      <c r="K22" s="123">
        <f>VLOOKUP($B22,'[12]Div 91 forecast'!$D$247:$AF$326,25,FALSE)</f>
        <v>94.136271723825345</v>
      </c>
      <c r="L22" s="123">
        <f>VLOOKUP($B22,'[12]Div 91 forecast'!$D$247:$AF$326,26,FALSE)</f>
        <v>96.285300156634662</v>
      </c>
      <c r="M22" s="123">
        <f>VLOOKUP($B22,'[12]Div 91 forecast'!$D$247:$AF$326,27,FALSE)</f>
        <v>97.993010250563486</v>
      </c>
      <c r="N22" s="123">
        <f>VLOOKUP($B22,'[12]Div 91 forecast'!$D$247:$AF$326,28,FALSE)</f>
        <v>98.700216035850218</v>
      </c>
      <c r="O22" s="123">
        <f>VLOOKUP($B22,'[12]Div 91 forecast'!$D$247:$AF$326,29,FALSE)</f>
        <v>90.241157689358474</v>
      </c>
      <c r="P22" s="1">
        <f t="shared" si="0"/>
        <v>1072.5954410182176</v>
      </c>
      <c r="Q22" s="1"/>
      <c r="R22" s="468"/>
    </row>
    <row r="23" spans="1:18" s="1058" customFormat="1">
      <c r="A23" s="1122">
        <f t="shared" si="1"/>
        <v>12</v>
      </c>
      <c r="B23" s="1061">
        <v>8650</v>
      </c>
      <c r="C23" s="1076" t="s">
        <v>1494</v>
      </c>
      <c r="D23" s="123">
        <f>VLOOKUP($B23,'[12]Div 91 forecast'!$D$247:$AF$326,18,FALSE)</f>
        <v>2.0473950400979639</v>
      </c>
      <c r="E23" s="123">
        <f>VLOOKUP($B23,'[12]Div 91 forecast'!$D$247:$AF$326,19,FALSE)</f>
        <v>3.9217211403648395</v>
      </c>
      <c r="F23" s="123">
        <f>VLOOKUP($B23,'[12]Div 91 forecast'!$D$247:$AF$326,20,FALSE)</f>
        <v>5.0894631695529045</v>
      </c>
      <c r="G23" s="123">
        <f>VLOOKUP($B23,'[12]Div 91 forecast'!$D$247:$AF$326,21,FALSE)</f>
        <v>3.9779431731910857</v>
      </c>
      <c r="H23" s="123">
        <f>VLOOKUP($B23,'[12]Div 91 forecast'!$D$247:$AF$326,22,FALSE)</f>
        <v>2.2271475890565529</v>
      </c>
      <c r="I23" s="123">
        <f>VLOOKUP($B23,'[12]Div 91 forecast'!$D$247:$AF$326,23,FALSE)</f>
        <v>5.8506048296608864</v>
      </c>
      <c r="J23" s="123">
        <f>VLOOKUP($B23,'[12]Div 91 forecast'!$D$247:$AF$326,24,FALSE)</f>
        <v>3.1597896998298647</v>
      </c>
      <c r="K23" s="123">
        <f>VLOOKUP($B23,'[12]Div 91 forecast'!$D$247:$AF$326,25,FALSE)</f>
        <v>6.0495593765710938</v>
      </c>
      <c r="L23" s="123">
        <f>VLOOKUP($B23,'[12]Div 91 forecast'!$D$247:$AF$326,26,FALSE)</f>
        <v>3.5106920959932033</v>
      </c>
      <c r="M23" s="123">
        <f>VLOOKUP($B23,'[12]Div 91 forecast'!$D$247:$AF$326,27,FALSE)</f>
        <v>3.3873202740588084</v>
      </c>
      <c r="N23" s="123">
        <f>VLOOKUP($B23,'[12]Div 91 forecast'!$D$247:$AF$326,28,FALSE)</f>
        <v>4.9105815934016546</v>
      </c>
      <c r="O23" s="123">
        <f>VLOOKUP($B23,'[12]Div 91 forecast'!$D$247:$AF$326,29,FALSE)</f>
        <v>7.2958513431803098</v>
      </c>
      <c r="P23" s="1">
        <f t="shared" si="0"/>
        <v>51.428069324959168</v>
      </c>
      <c r="Q23" s="1"/>
      <c r="R23" s="1061"/>
    </row>
    <row r="24" spans="1:18">
      <c r="A24" s="1122">
        <f t="shared" si="1"/>
        <v>13</v>
      </c>
      <c r="B24" s="468">
        <v>8700</v>
      </c>
      <c r="C24" s="1" t="s">
        <v>932</v>
      </c>
      <c r="D24" s="123">
        <f>VLOOKUP($B24,'[12]Div 91 forecast'!$D$247:$AF$326,18,FALSE)</f>
        <v>390818.04890339996</v>
      </c>
      <c r="E24" s="123">
        <f>VLOOKUP($B24,'[12]Div 91 forecast'!$D$247:$AF$326,19,FALSE)</f>
        <v>355405.60569671937</v>
      </c>
      <c r="F24" s="123">
        <f>VLOOKUP($B24,'[12]Div 91 forecast'!$D$247:$AF$326,20,FALSE)</f>
        <v>397637.26608418446</v>
      </c>
      <c r="G24" s="123">
        <f>VLOOKUP($B24,'[12]Div 91 forecast'!$D$247:$AF$326,21,FALSE)</f>
        <v>406093.24358531245</v>
      </c>
      <c r="H24" s="123">
        <f>VLOOKUP($B24,'[12]Div 91 forecast'!$D$247:$AF$326,22,FALSE)</f>
        <v>352450.91531155852</v>
      </c>
      <c r="I24" s="123">
        <f>VLOOKUP($B24,'[12]Div 91 forecast'!$D$247:$AF$326,23,FALSE)</f>
        <v>411222.22902339842</v>
      </c>
      <c r="J24" s="123">
        <f>VLOOKUP($B24,'[12]Div 91 forecast'!$D$247:$AF$326,24,FALSE)</f>
        <v>384948.7545350311</v>
      </c>
      <c r="K24" s="123">
        <f>VLOOKUP($B24,'[12]Div 91 forecast'!$D$247:$AF$326,25,FALSE)</f>
        <v>406619.66495568561</v>
      </c>
      <c r="L24" s="123">
        <f>VLOOKUP($B24,'[12]Div 91 forecast'!$D$247:$AF$326,26,FALSE)</f>
        <v>411360.95769886236</v>
      </c>
      <c r="M24" s="123">
        <f>VLOOKUP($B24,'[12]Div 91 forecast'!$D$247:$AF$326,27,FALSE)</f>
        <v>394924.75733174384</v>
      </c>
      <c r="N24" s="123">
        <f>VLOOKUP($B24,'[12]Div 91 forecast'!$D$247:$AF$326,28,FALSE)</f>
        <v>378235.75865843758</v>
      </c>
      <c r="O24" s="123">
        <f>VLOOKUP($B24,'[12]Div 91 forecast'!$D$247:$AF$326,29,FALSE)</f>
        <v>423100.5307050363</v>
      </c>
      <c r="P24" s="1">
        <f t="shared" si="0"/>
        <v>4712817.7324893707</v>
      </c>
      <c r="Q24" s="1"/>
      <c r="R24" s="468"/>
    </row>
    <row r="25" spans="1:18">
      <c r="A25" s="1122">
        <f t="shared" si="1"/>
        <v>14</v>
      </c>
      <c r="B25" s="468">
        <v>8711</v>
      </c>
      <c r="C25" s="1" t="s">
        <v>194</v>
      </c>
      <c r="D25" s="123">
        <f>VLOOKUP($B25,'[12]Div 91 forecast'!$D$247:$AF$326,18,FALSE)</f>
        <v>3871.4087141210334</v>
      </c>
      <c r="E25" s="123">
        <f>VLOOKUP($B25,'[12]Div 91 forecast'!$D$247:$AF$326,19,FALSE)</f>
        <v>7415.5622631745055</v>
      </c>
      <c r="F25" s="123">
        <f>VLOOKUP($B25,'[12]Div 91 forecast'!$D$247:$AF$326,20,FALSE)</f>
        <v>9623.6396391105845</v>
      </c>
      <c r="G25" s="123">
        <f>VLOOKUP($B25,'[12]Div 91 forecast'!$D$247:$AF$326,21,FALSE)</f>
        <v>7521.8722148674206</v>
      </c>
      <c r="H25" s="123">
        <f>VLOOKUP($B25,'[12]Div 91 forecast'!$D$247:$AF$326,22,FALSE)</f>
        <v>4211.3018811917382</v>
      </c>
      <c r="I25" s="123">
        <f>VLOOKUP($B25,'[12]Div 91 forecast'!$D$247:$AF$326,23,FALSE)</f>
        <v>11062.878475735681</v>
      </c>
      <c r="J25" s="123">
        <f>VLOOKUP($B25,'[12]Div 91 forecast'!$D$247:$AF$326,24,FALSE)</f>
        <v>5974.830034816292</v>
      </c>
      <c r="K25" s="123">
        <f>VLOOKUP($B25,'[12]Div 91 forecast'!$D$247:$AF$326,25,FALSE)</f>
        <v>11439.080601626016</v>
      </c>
      <c r="L25" s="123">
        <f>VLOOKUP($B25,'[12]Div 91 forecast'!$D$247:$AF$326,26,FALSE)</f>
        <v>6638.3495646124074</v>
      </c>
      <c r="M25" s="123">
        <f>VLOOKUP($B25,'[12]Div 91 forecast'!$D$247:$AF$326,27,FALSE)</f>
        <v>6405.0664232744512</v>
      </c>
      <c r="N25" s="123">
        <f>VLOOKUP($B25,'[12]Div 91 forecast'!$D$247:$AF$326,28,FALSE)</f>
        <v>9285.3933900259326</v>
      </c>
      <c r="O25" s="123">
        <f>VLOOKUP($B25,'[12]Div 91 forecast'!$D$247:$AF$326,29,FALSE)</f>
        <v>13795.687648812716</v>
      </c>
      <c r="P25" s="1">
        <f t="shared" si="0"/>
        <v>97245.070851368771</v>
      </c>
      <c r="Q25" s="1"/>
    </row>
    <row r="26" spans="1:18">
      <c r="A26" s="1122">
        <f t="shared" si="1"/>
        <v>15</v>
      </c>
      <c r="B26" s="468">
        <v>8740</v>
      </c>
      <c r="C26" s="1" t="s">
        <v>934</v>
      </c>
      <c r="D26" s="123">
        <f>VLOOKUP($B26,'[12]Div 91 forecast'!$D$247:$AF$326,18,FALSE)</f>
        <v>136.36803927530002</v>
      </c>
      <c r="E26" s="123">
        <f>VLOOKUP($B26,'[12]Div 91 forecast'!$D$247:$AF$326,19,FALSE)</f>
        <v>758.68639394040508</v>
      </c>
      <c r="F26" s="123">
        <f>VLOOKUP($B26,'[12]Div 91 forecast'!$D$247:$AF$326,20,FALSE)</f>
        <v>342.63376193860785</v>
      </c>
      <c r="G26" s="123">
        <f>VLOOKUP($B26,'[12]Div 91 forecast'!$D$247:$AF$326,21,FALSE)</f>
        <v>623.34431273414532</v>
      </c>
      <c r="H26" s="123">
        <f>VLOOKUP($B26,'[12]Div 91 forecast'!$D$247:$AF$326,22,FALSE)</f>
        <v>186.08280391789407</v>
      </c>
      <c r="I26" s="123">
        <f>VLOOKUP($B26,'[12]Div 91 forecast'!$D$247:$AF$326,23,FALSE)</f>
        <v>506.69603624273037</v>
      </c>
      <c r="J26" s="123">
        <f>VLOOKUP($B26,'[12]Div 91 forecast'!$D$247:$AF$326,24,FALSE)</f>
        <v>141.3501852521016</v>
      </c>
      <c r="K26" s="123">
        <f>VLOOKUP($B26,'[12]Div 91 forecast'!$D$247:$AF$326,25,FALSE)</f>
        <v>1758.2683722417257</v>
      </c>
      <c r="L26" s="123">
        <f>VLOOKUP($B26,'[12]Div 91 forecast'!$D$247:$AF$326,26,FALSE)</f>
        <v>452.12725049548129</v>
      </c>
      <c r="M26" s="123">
        <f>VLOOKUP($B26,'[12]Div 91 forecast'!$D$247:$AF$326,27,FALSE)</f>
        <v>632.05656211767894</v>
      </c>
      <c r="N26" s="123">
        <f>VLOOKUP($B26,'[12]Div 91 forecast'!$D$247:$AF$326,28,FALSE)</f>
        <v>682.65789154267691</v>
      </c>
      <c r="O26" s="123">
        <f>VLOOKUP($B26,'[12]Div 91 forecast'!$D$247:$AF$326,29,FALSE)</f>
        <v>1552.1761898843904</v>
      </c>
      <c r="P26" s="1">
        <f t="shared" si="0"/>
        <v>7772.4477995831385</v>
      </c>
      <c r="Q26" s="1"/>
      <c r="R26" s="468"/>
    </row>
    <row r="27" spans="1:18">
      <c r="A27" s="1122">
        <f t="shared" si="1"/>
        <v>16</v>
      </c>
      <c r="B27" s="468">
        <v>8750</v>
      </c>
      <c r="C27" s="1" t="s">
        <v>1247</v>
      </c>
      <c r="D27" s="123">
        <f>VLOOKUP($B27,'[12]Div 91 forecast'!$D$247:$AF$326,18,FALSE)</f>
        <v>10246.838448876106</v>
      </c>
      <c r="E27" s="123">
        <f>VLOOKUP($B27,'[12]Div 91 forecast'!$D$247:$AF$326,19,FALSE)</f>
        <v>11683.958046423148</v>
      </c>
      <c r="F27" s="123">
        <f>VLOOKUP($B27,'[12]Div 91 forecast'!$D$247:$AF$326,20,FALSE)</f>
        <v>12790.84929448812</v>
      </c>
      <c r="G27" s="123">
        <f>VLOOKUP($B27,'[12]Div 91 forecast'!$D$247:$AF$326,21,FALSE)</f>
        <v>11735.318869082688</v>
      </c>
      <c r="H27" s="123">
        <f>VLOOKUP($B27,'[12]Div 91 forecast'!$D$247:$AF$326,22,FALSE)</f>
        <v>10343.893971034831</v>
      </c>
      <c r="I27" s="123">
        <f>VLOOKUP($B27,'[12]Div 91 forecast'!$D$247:$AF$326,23,FALSE)</f>
        <v>12955.74727096441</v>
      </c>
      <c r="J27" s="123">
        <f>VLOOKUP($B27,'[12]Div 91 forecast'!$D$247:$AF$326,24,FALSE)</f>
        <v>10927.545929181664</v>
      </c>
      <c r="K27" s="123">
        <f>VLOOKUP($B27,'[12]Div 91 forecast'!$D$247:$AF$326,25,FALSE)</f>
        <v>13162.272750333235</v>
      </c>
      <c r="L27" s="123">
        <f>VLOOKUP($B27,'[12]Div 91 forecast'!$D$247:$AF$326,26,FALSE)</f>
        <v>10985.741271633295</v>
      </c>
      <c r="M27" s="123">
        <f>VLOOKUP($B27,'[12]Div 91 forecast'!$D$247:$AF$326,27,FALSE)</f>
        <v>10950.728106863471</v>
      </c>
      <c r="N27" s="123">
        <f>VLOOKUP($B27,'[12]Div 91 forecast'!$D$247:$AF$326,28,FALSE)</f>
        <v>12552.919595280788</v>
      </c>
      <c r="O27" s="123">
        <f>VLOOKUP($B27,'[12]Div 91 forecast'!$D$247:$AF$326,29,FALSE)</f>
        <v>14305.177648547908</v>
      </c>
      <c r="P27" s="1">
        <f t="shared" si="0"/>
        <v>142640.99120270967</v>
      </c>
      <c r="Q27" s="1"/>
      <c r="R27" s="468"/>
    </row>
    <row r="28" spans="1:18" s="1058" customFormat="1">
      <c r="A28" s="1122">
        <f t="shared" si="1"/>
        <v>17</v>
      </c>
      <c r="B28" s="400">
        <v>8760</v>
      </c>
      <c r="C28" s="1058" t="s">
        <v>936</v>
      </c>
      <c r="D28" s="123">
        <f>VLOOKUP($B28,'[12]Div 91 forecast'!$D$247:$AF$326,18,FALSE)</f>
        <v>95.104801862615105</v>
      </c>
      <c r="E28" s="123">
        <f>VLOOKUP($B28,'[12]Div 91 forecast'!$D$247:$AF$326,19,FALSE)</f>
        <v>182.1702723266248</v>
      </c>
      <c r="F28" s="123">
        <f>VLOOKUP($B28,'[12]Div 91 forecast'!$D$247:$AF$326,20,FALSE)</f>
        <v>236.41377303729621</v>
      </c>
      <c r="G28" s="123">
        <f>VLOOKUP($B28,'[12]Div 91 forecast'!$D$247:$AF$326,21,FALSE)</f>
        <v>184.78187643210202</v>
      </c>
      <c r="H28" s="123">
        <f>VLOOKUP($B28,'[12]Div 91 forecast'!$D$247:$AF$326,22,FALSE)</f>
        <v>103.45459768520762</v>
      </c>
      <c r="I28" s="123">
        <f>VLOOKUP($B28,'[12]Div 91 forecast'!$D$247:$AF$326,23,FALSE)</f>
        <v>271.77003079715081</v>
      </c>
      <c r="J28" s="123">
        <f>VLOOKUP($B28,'[12]Div 91 forecast'!$D$247:$AF$326,24,FALSE)</f>
        <v>146.77732799209693</v>
      </c>
      <c r="K28" s="123">
        <f>VLOOKUP($B28,'[12]Div 91 forecast'!$D$247:$AF$326,25,FALSE)</f>
        <v>281.01179039556047</v>
      </c>
      <c r="L28" s="123">
        <f>VLOOKUP($B28,'[12]Div 91 forecast'!$D$247:$AF$326,26,FALSE)</f>
        <v>163.07731026549072</v>
      </c>
      <c r="M28" s="123">
        <f>VLOOKUP($B28,'[12]Div 91 forecast'!$D$247:$AF$326,27,FALSE)</f>
        <v>157.3464901498285</v>
      </c>
      <c r="N28" s="123">
        <f>VLOOKUP($B28,'[12]Div 91 forecast'!$D$247:$AF$326,28,FALSE)</f>
        <v>228.10443530639941</v>
      </c>
      <c r="O28" s="123">
        <f>VLOOKUP($B28,'[12]Div 91 forecast'!$D$247:$AF$326,29,FALSE)</f>
        <v>338.90406239289177</v>
      </c>
      <c r="P28" s="1">
        <f t="shared" si="0"/>
        <v>2388.9167686432643</v>
      </c>
      <c r="Q28" s="1"/>
      <c r="R28" s="1061"/>
    </row>
    <row r="29" spans="1:18">
      <c r="A29" s="1122">
        <f t="shared" si="1"/>
        <v>18</v>
      </c>
      <c r="B29" s="468">
        <v>8770</v>
      </c>
      <c r="C29" s="1" t="s">
        <v>937</v>
      </c>
      <c r="D29" s="123">
        <f>VLOOKUP($B29,'[12]Div 91 forecast'!$D$247:$AF$326,18,FALSE)</f>
        <v>803.20030454865616</v>
      </c>
      <c r="E29" s="123">
        <f>VLOOKUP($B29,'[12]Div 91 forecast'!$D$247:$AF$326,19,FALSE)</f>
        <v>877.62092024947174</v>
      </c>
      <c r="F29" s="123">
        <f>VLOOKUP($B29,'[12]Div 91 forecast'!$D$247:$AF$326,20,FALSE)</f>
        <v>916.19925933084994</v>
      </c>
      <c r="G29" s="123">
        <f>VLOOKUP($B29,'[12]Div 91 forecast'!$D$247:$AF$326,21,FALSE)</f>
        <v>1355.5118029589198</v>
      </c>
      <c r="H29" s="123">
        <f>VLOOKUP($B29,'[12]Div 91 forecast'!$D$247:$AF$326,22,FALSE)</f>
        <v>803.21184313128913</v>
      </c>
      <c r="I29" s="123">
        <f>VLOOKUP($B29,'[12]Div 91 forecast'!$D$247:$AF$326,23,FALSE)</f>
        <v>911.71110018709828</v>
      </c>
      <c r="J29" s="123">
        <f>VLOOKUP($B29,'[12]Div 91 forecast'!$D$247:$AF$326,24,FALSE)</f>
        <v>868.76372149375891</v>
      </c>
      <c r="K29" s="123">
        <f>VLOOKUP($B29,'[12]Div 91 forecast'!$D$247:$AF$326,25,FALSE)</f>
        <v>971.89744986463938</v>
      </c>
      <c r="L29" s="123">
        <f>VLOOKUP($B29,'[12]Div 91 forecast'!$D$247:$AF$326,26,FALSE)</f>
        <v>893.951716412049</v>
      </c>
      <c r="M29" s="123">
        <f>VLOOKUP($B29,'[12]Div 91 forecast'!$D$247:$AF$326,27,FALSE)</f>
        <v>897.90926350558175</v>
      </c>
      <c r="N29" s="123">
        <f>VLOOKUP($B29,'[12]Div 91 forecast'!$D$247:$AF$326,28,FALSE)</f>
        <v>910.09144887492755</v>
      </c>
      <c r="O29" s="123">
        <f>VLOOKUP($B29,'[12]Div 91 forecast'!$D$247:$AF$326,29,FALSE)</f>
        <v>997.07935517975056</v>
      </c>
      <c r="P29" s="1">
        <f t="shared" si="0"/>
        <v>11207.148185736993</v>
      </c>
      <c r="Q29" s="1"/>
    </row>
    <row r="30" spans="1:18">
      <c r="A30" s="1122">
        <f t="shared" si="1"/>
        <v>19</v>
      </c>
      <c r="B30" s="468">
        <v>8800</v>
      </c>
      <c r="C30" s="1" t="s">
        <v>940</v>
      </c>
      <c r="D30" s="123">
        <f>VLOOKUP($B30,'[12]Div 91 forecast'!$D$247:$AF$326,18,FALSE)</f>
        <v>103.58240224538814</v>
      </c>
      <c r="E30" s="123">
        <f>VLOOKUP($B30,'[12]Div 91 forecast'!$D$247:$AF$326,19,FALSE)</f>
        <v>102.65569581762655</v>
      </c>
      <c r="F30" s="123">
        <f>VLOOKUP($B30,'[12]Div 91 forecast'!$D$247:$AF$326,20,FALSE)</f>
        <v>89.128052467106215</v>
      </c>
      <c r="G30" s="123">
        <f>VLOOKUP($B30,'[12]Div 91 forecast'!$D$247:$AF$326,21,FALSE)</f>
        <v>126.39146611495735</v>
      </c>
      <c r="H30" s="123">
        <f>VLOOKUP($B30,'[12]Div 91 forecast'!$D$247:$AF$326,22,FALSE)</f>
        <v>105.86530967153556</v>
      </c>
      <c r="I30" s="123">
        <f>VLOOKUP($B30,'[12]Div 91 forecast'!$D$247:$AF$326,23,FALSE)</f>
        <v>171.68814656514871</v>
      </c>
      <c r="J30" s="123">
        <f>VLOOKUP($B30,'[12]Div 91 forecast'!$D$247:$AF$326,24,FALSE)</f>
        <v>95.416527945257712</v>
      </c>
      <c r="K30" s="123">
        <f>VLOOKUP($B30,'[12]Div 91 forecast'!$D$247:$AF$326,25,FALSE)</f>
        <v>118.00720025284338</v>
      </c>
      <c r="L30" s="123">
        <f>VLOOKUP($B30,'[12]Div 91 forecast'!$D$247:$AF$326,26,FALSE)</f>
        <v>87.317310778426901</v>
      </c>
      <c r="M30" s="123">
        <f>VLOOKUP($B30,'[12]Div 91 forecast'!$D$247:$AF$326,27,FALSE)</f>
        <v>99.525151724225324</v>
      </c>
      <c r="N30" s="123">
        <f>VLOOKUP($B30,'[12]Div 91 forecast'!$D$247:$AF$326,28,FALSE)</f>
        <v>107.95562259722823</v>
      </c>
      <c r="O30" s="123">
        <f>VLOOKUP($B30,'[12]Div 91 forecast'!$D$247:$AF$326,29,FALSE)</f>
        <v>103.40646098499563</v>
      </c>
      <c r="P30" s="1">
        <f t="shared" si="0"/>
        <v>1310.9393471647397</v>
      </c>
      <c r="Q30" s="1"/>
    </row>
    <row r="31" spans="1:18">
      <c r="A31" s="1122">
        <f t="shared" si="1"/>
        <v>20</v>
      </c>
      <c r="B31" s="468">
        <v>8810</v>
      </c>
      <c r="C31" s="1" t="s">
        <v>941</v>
      </c>
      <c r="D31" s="123">
        <f>VLOOKUP($B31,'[12]Div 91 forecast'!$D$247:$AF$326,18,FALSE)</f>
        <v>26974.780664574886</v>
      </c>
      <c r="E31" s="123">
        <f>VLOOKUP($B31,'[12]Div 91 forecast'!$D$247:$AF$326,19,FALSE)</f>
        <v>26595.675141680134</v>
      </c>
      <c r="F31" s="123">
        <f>VLOOKUP($B31,'[12]Div 91 forecast'!$D$247:$AF$326,20,FALSE)</f>
        <v>26886.180722145546</v>
      </c>
      <c r="G31" s="123">
        <f>VLOOKUP($B31,'[12]Div 91 forecast'!$D$247:$AF$326,21,FALSE)</f>
        <v>26118.564451698192</v>
      </c>
      <c r="H31" s="123">
        <f>VLOOKUP($B31,'[12]Div 91 forecast'!$D$247:$AF$326,22,FALSE)</f>
        <v>25256.452934959845</v>
      </c>
      <c r="I31" s="123">
        <f>VLOOKUP($B31,'[12]Div 91 forecast'!$D$247:$AF$326,23,FALSE)</f>
        <v>25540.143135238384</v>
      </c>
      <c r="J31" s="123">
        <f>VLOOKUP($B31,'[12]Div 91 forecast'!$D$247:$AF$326,24,FALSE)</f>
        <v>27625.649472421137</v>
      </c>
      <c r="K31" s="123">
        <f>VLOOKUP($B31,'[12]Div 91 forecast'!$D$247:$AF$326,25,FALSE)</f>
        <v>29257.081104653567</v>
      </c>
      <c r="L31" s="123">
        <f>VLOOKUP($B31,'[12]Div 91 forecast'!$D$247:$AF$326,26,FALSE)</f>
        <v>29924.988362966993</v>
      </c>
      <c r="M31" s="123">
        <f>VLOOKUP($B31,'[12]Div 91 forecast'!$D$247:$AF$326,27,FALSE)</f>
        <v>30455.736095019638</v>
      </c>
      <c r="N31" s="123">
        <f>VLOOKUP($B31,'[12]Div 91 forecast'!$D$247:$AF$326,28,FALSE)</f>
        <v>30675.532106046252</v>
      </c>
      <c r="O31" s="123">
        <f>VLOOKUP($B31,'[12]Div 91 forecast'!$D$247:$AF$326,29,FALSE)</f>
        <v>28046.499198960468</v>
      </c>
      <c r="P31" s="1">
        <f t="shared" si="0"/>
        <v>333357.28339036508</v>
      </c>
      <c r="Q31" s="1"/>
      <c r="R31" s="468"/>
    </row>
    <row r="32" spans="1:18" s="1058" customFormat="1">
      <c r="A32" s="1122">
        <f t="shared" si="1"/>
        <v>21</v>
      </c>
      <c r="B32" s="400">
        <v>9010</v>
      </c>
      <c r="C32" s="1058" t="s">
        <v>186</v>
      </c>
      <c r="D32" s="123">
        <f>VLOOKUP($B32,'[12]Div 91 forecast'!$D$247:$AF$326,18,FALSE)</f>
        <v>1394.1081679045922</v>
      </c>
      <c r="E32" s="123">
        <f>VLOOKUP($B32,'[12]Div 91 forecast'!$D$247:$AF$326,19,FALSE)</f>
        <v>669.89943920930909</v>
      </c>
      <c r="F32" s="123">
        <f>VLOOKUP($B32,'[12]Div 91 forecast'!$D$247:$AF$326,20,FALSE)</f>
        <v>2300.851832821827</v>
      </c>
      <c r="G32" s="123">
        <f>VLOOKUP($B32,'[12]Div 91 forecast'!$D$247:$AF$326,21,FALSE)</f>
        <v>695.73384983263315</v>
      </c>
      <c r="H32" s="123">
        <f>VLOOKUP($B32,'[12]Div 91 forecast'!$D$247:$AF$326,22,FALSE)</f>
        <v>693.73047083823781</v>
      </c>
      <c r="I32" s="123">
        <f>VLOOKUP($B32,'[12]Div 91 forecast'!$D$247:$AF$326,23,FALSE)</f>
        <v>1508.435452625813</v>
      </c>
      <c r="J32" s="123">
        <f>VLOOKUP($B32,'[12]Div 91 forecast'!$D$247:$AF$326,24,FALSE)</f>
        <v>657.67943269280556</v>
      </c>
      <c r="K32" s="123">
        <f>VLOOKUP($B32,'[12]Div 91 forecast'!$D$247:$AF$326,25,FALSE)</f>
        <v>2238.760859782531</v>
      </c>
      <c r="L32" s="123">
        <f>VLOOKUP($B32,'[12]Div 91 forecast'!$D$247:$AF$326,26,FALSE)</f>
        <v>3439.51083849305</v>
      </c>
      <c r="M32" s="123">
        <f>VLOOKUP($B32,'[12]Div 91 forecast'!$D$247:$AF$326,27,FALSE)</f>
        <v>624.87522646403932</v>
      </c>
      <c r="N32" s="123">
        <f>VLOOKUP($B32,'[12]Div 91 forecast'!$D$247:$AF$326,28,FALSE)</f>
        <v>903.21366041065414</v>
      </c>
      <c r="O32" s="123">
        <f>VLOOKUP($B32,'[12]Div 91 forecast'!$D$247:$AF$326,29,FALSE)</f>
        <v>2641.902851743328</v>
      </c>
      <c r="P32" s="1">
        <f t="shared" si="0"/>
        <v>17768.702082818822</v>
      </c>
      <c r="Q32" s="1"/>
      <c r="R32" s="1061"/>
    </row>
    <row r="33" spans="1:18">
      <c r="A33" s="1122">
        <f t="shared" si="1"/>
        <v>22</v>
      </c>
      <c r="B33" s="468">
        <v>9030</v>
      </c>
      <c r="C33" s="1" t="s">
        <v>956</v>
      </c>
      <c r="D33" s="123">
        <f>VLOOKUP($B33,'[12]Div 91 forecast'!$D$247:$AF$326,18,FALSE)</f>
        <v>291191.88127310091</v>
      </c>
      <c r="E33" s="123">
        <f>VLOOKUP($B33,'[12]Div 91 forecast'!$D$247:$AF$326,19,FALSE)</f>
        <v>290351.32145474787</v>
      </c>
      <c r="F33" s="123">
        <f>VLOOKUP($B33,'[12]Div 91 forecast'!$D$247:$AF$326,20,FALSE)</f>
        <v>288684.71529841115</v>
      </c>
      <c r="G33" s="123">
        <f>VLOOKUP($B33,'[12]Div 91 forecast'!$D$247:$AF$326,21,FALSE)</f>
        <v>472792.72380139411</v>
      </c>
      <c r="H33" s="123">
        <f>VLOOKUP($B33,'[12]Div 91 forecast'!$D$247:$AF$326,22,FALSE)</f>
        <v>288923.08688988496</v>
      </c>
      <c r="I33" s="123">
        <f>VLOOKUP($B33,'[12]Div 91 forecast'!$D$247:$AF$326,23,FALSE)</f>
        <v>274587.98708272772</v>
      </c>
      <c r="J33" s="123">
        <f>VLOOKUP($B33,'[12]Div 91 forecast'!$D$247:$AF$326,24,FALSE)</f>
        <v>300460.61170972197</v>
      </c>
      <c r="K33" s="123">
        <f>VLOOKUP($B33,'[12]Div 91 forecast'!$D$247:$AF$326,25,FALSE)</f>
        <v>294400.79374014144</v>
      </c>
      <c r="L33" s="123">
        <f>VLOOKUP($B33,'[12]Div 91 forecast'!$D$247:$AF$326,26,FALSE)</f>
        <v>303253.40074720618</v>
      </c>
      <c r="M33" s="123">
        <f>VLOOKUP($B33,'[12]Div 91 forecast'!$D$247:$AF$326,27,FALSE)</f>
        <v>308096.83303529007</v>
      </c>
      <c r="N33" s="123">
        <f>VLOOKUP($B33,'[12]Div 91 forecast'!$D$247:$AF$326,28,FALSE)</f>
        <v>288148.58860330662</v>
      </c>
      <c r="O33" s="123">
        <f>VLOOKUP($B33,'[12]Div 91 forecast'!$D$247:$AF$326,29,FALSE)</f>
        <v>285725.13870952674</v>
      </c>
      <c r="P33" s="1">
        <f t="shared" si="0"/>
        <v>3686617.0823454596</v>
      </c>
      <c r="Q33" s="1"/>
      <c r="R33" s="468"/>
    </row>
    <row r="34" spans="1:18">
      <c r="A34" s="1122">
        <f t="shared" si="1"/>
        <v>23</v>
      </c>
      <c r="B34" s="468">
        <v>9100</v>
      </c>
      <c r="C34" s="1" t="s">
        <v>959</v>
      </c>
      <c r="D34" s="123">
        <f>VLOOKUP($B34,'[12]Div 91 forecast'!$D$247:$AF$326,18,FALSE)</f>
        <v>61.742262540158578</v>
      </c>
      <c r="E34" s="123">
        <f>VLOOKUP($B34,'[12]Div 91 forecast'!$D$247:$AF$326,19,FALSE)</f>
        <v>29.668506363701876</v>
      </c>
      <c r="F34" s="123">
        <f>VLOOKUP($B34,'[12]Div 91 forecast'!$D$247:$AF$326,20,FALSE)</f>
        <v>101.90012597201306</v>
      </c>
      <c r="G34" s="123">
        <f>VLOOKUP($B34,'[12]Div 91 forecast'!$D$247:$AF$326,21,FALSE)</f>
        <v>30.812660741387656</v>
      </c>
      <c r="H34" s="123">
        <f>VLOOKUP($B34,'[12]Div 91 forecast'!$D$247:$AF$326,22,FALSE)</f>
        <v>30.723935092483874</v>
      </c>
      <c r="I34" s="123">
        <f>VLOOKUP($B34,'[12]Div 91 forecast'!$D$247:$AF$326,23,FALSE)</f>
        <v>66.805589325892001</v>
      </c>
      <c r="J34" s="123">
        <f>VLOOKUP($B34,'[12]Div 91 forecast'!$D$247:$AF$326,24,FALSE)</f>
        <v>29.127306715098971</v>
      </c>
      <c r="K34" s="123">
        <f>VLOOKUP($B34,'[12]Div 91 forecast'!$D$247:$AF$326,25,FALSE)</f>
        <v>99.150240958048727</v>
      </c>
      <c r="L34" s="123">
        <f>VLOOKUP($B34,'[12]Div 91 forecast'!$D$247:$AF$326,26,FALSE)</f>
        <v>152.32905601518019</v>
      </c>
      <c r="M34" s="123">
        <f>VLOOKUP($B34,'[12]Div 91 forecast'!$D$247:$AF$326,27,FALSE)</f>
        <v>27.67447402963937</v>
      </c>
      <c r="N34" s="123">
        <f>VLOOKUP($B34,'[12]Div 91 forecast'!$D$247:$AF$326,28,FALSE)</f>
        <v>40.001526592267048</v>
      </c>
      <c r="O34" s="123">
        <f>VLOOKUP($B34,'[12]Div 91 forecast'!$D$247:$AF$326,29,FALSE)</f>
        <v>117.0045934980085</v>
      </c>
      <c r="P34" s="1">
        <f t="shared" si="0"/>
        <v>786.94027784387981</v>
      </c>
      <c r="Q34" s="1"/>
      <c r="R34" s="468"/>
    </row>
    <row r="35" spans="1:18">
      <c r="A35" s="1122">
        <f t="shared" si="1"/>
        <v>24</v>
      </c>
      <c r="B35" s="468">
        <v>9110</v>
      </c>
      <c r="C35" s="1" t="s">
        <v>960</v>
      </c>
      <c r="D35" s="123">
        <f>VLOOKUP($B35,'[12]Div 91 forecast'!$D$247:$AF$326,18,FALSE)</f>
        <v>12955.137929415927</v>
      </c>
      <c r="E35" s="123">
        <f>VLOOKUP($B35,'[12]Div 91 forecast'!$D$247:$AF$326,19,FALSE)</f>
        <v>12496.880862451713</v>
      </c>
      <c r="F35" s="123">
        <f>VLOOKUP($B35,'[12]Div 91 forecast'!$D$247:$AF$326,20,FALSE)</f>
        <v>12930.253529591417</v>
      </c>
      <c r="G35" s="123">
        <f>VLOOKUP($B35,'[12]Div 91 forecast'!$D$247:$AF$326,21,FALSE)</f>
        <v>13702.493634509494</v>
      </c>
      <c r="H35" s="123">
        <f>VLOOKUP($B35,'[12]Div 91 forecast'!$D$247:$AF$326,22,FALSE)</f>
        <v>13310.956770510811</v>
      </c>
      <c r="I35" s="123">
        <f>VLOOKUP($B35,'[12]Div 91 forecast'!$D$247:$AF$326,23,FALSE)</f>
        <v>14975.138465703369</v>
      </c>
      <c r="J35" s="123">
        <f>VLOOKUP($B35,'[12]Div 91 forecast'!$D$247:$AF$326,24,FALSE)</f>
        <v>13429.414349034809</v>
      </c>
      <c r="K35" s="123">
        <f>VLOOKUP($B35,'[12]Div 91 forecast'!$D$247:$AF$326,25,FALSE)</f>
        <v>13263.830110014907</v>
      </c>
      <c r="L35" s="123">
        <f>VLOOKUP($B35,'[12]Div 91 forecast'!$D$247:$AF$326,26,FALSE)</f>
        <v>12275.293038773672</v>
      </c>
      <c r="M35" s="123">
        <f>VLOOKUP($B35,'[12]Div 91 forecast'!$D$247:$AF$326,27,FALSE)</f>
        <v>13579.266080377276</v>
      </c>
      <c r="N35" s="123">
        <f>VLOOKUP($B35,'[12]Div 91 forecast'!$D$247:$AF$326,28,FALSE)</f>
        <v>12937.546686693016</v>
      </c>
      <c r="O35" s="123">
        <f>VLOOKUP($B35,'[12]Div 91 forecast'!$D$247:$AF$326,29,FALSE)</f>
        <v>13252.190395143491</v>
      </c>
      <c r="P35" s="1">
        <f t="shared" si="0"/>
        <v>159108.40185221989</v>
      </c>
      <c r="Q35" s="1"/>
      <c r="R35" s="468"/>
    </row>
    <row r="36" spans="1:18">
      <c r="A36" s="1122">
        <f t="shared" si="1"/>
        <v>25</v>
      </c>
      <c r="B36" s="468">
        <v>9120</v>
      </c>
      <c r="C36" s="1" t="s">
        <v>961</v>
      </c>
      <c r="D36" s="123">
        <f>VLOOKUP($B36,'[12]Div 91 forecast'!$D$247:$AF$326,18,FALSE)</f>
        <v>38.650254846986918</v>
      </c>
      <c r="E36" s="123">
        <f>VLOOKUP($B36,'[12]Div 91 forecast'!$D$247:$AF$326,19,FALSE)</f>
        <v>18.572292052638883</v>
      </c>
      <c r="F36" s="123">
        <f>VLOOKUP($B36,'[12]Div 91 forecast'!$D$247:$AF$326,20,FALSE)</f>
        <v>63.788816213152323</v>
      </c>
      <c r="G36" s="123">
        <f>VLOOKUP($B36,'[12]Div 91 forecast'!$D$247:$AF$326,21,FALSE)</f>
        <v>19.288525252759921</v>
      </c>
      <c r="H36" s="123">
        <f>VLOOKUP($B36,'[12]Div 91 forecast'!$D$247:$AF$326,22,FALSE)</f>
        <v>19.232983573519306</v>
      </c>
      <c r="I36" s="123">
        <f>VLOOKUP($B36,'[12]Div 91 forecast'!$D$247:$AF$326,23,FALSE)</f>
        <v>41.819864488598043</v>
      </c>
      <c r="J36" s="123">
        <f>VLOOKUP($B36,'[12]Div 91 forecast'!$D$247:$AF$326,24,FALSE)</f>
        <v>18.23350459197534</v>
      </c>
      <c r="K36" s="123">
        <f>VLOOKUP($B36,'[12]Div 91 forecast'!$D$247:$AF$326,25,FALSE)</f>
        <v>62.067406076610887</v>
      </c>
      <c r="L36" s="123">
        <f>VLOOKUP($B36,'[12]Div 91 forecast'!$D$247:$AF$326,26,FALSE)</f>
        <v>95.356998486381315</v>
      </c>
      <c r="M36" s="123">
        <f>VLOOKUP($B36,'[12]Div 91 forecast'!$D$247:$AF$326,27,FALSE)</f>
        <v>17.324040778489024</v>
      </c>
      <c r="N36" s="123">
        <f>VLOOKUP($B36,'[12]Div 91 forecast'!$D$247:$AF$326,28,FALSE)</f>
        <v>25.040695521224976</v>
      </c>
      <c r="O36" s="123">
        <f>VLOOKUP($B36,'[12]Div 91 forecast'!$D$247:$AF$326,29,FALSE)</f>
        <v>73.244114661732027</v>
      </c>
      <c r="P36" s="1">
        <f t="shared" si="0"/>
        <v>492.61949654406885</v>
      </c>
      <c r="Q36" s="1"/>
    </row>
    <row r="37" spans="1:18">
      <c r="A37" s="1122">
        <f t="shared" si="1"/>
        <v>26</v>
      </c>
      <c r="B37" s="468">
        <v>9130</v>
      </c>
      <c r="C37" s="1" t="s">
        <v>962</v>
      </c>
      <c r="D37" s="123">
        <f>VLOOKUP($B37,'[12]Div 91 forecast'!$D$247:$AF$326,18,FALSE)</f>
        <v>688.84836327600965</v>
      </c>
      <c r="E37" s="123">
        <f>VLOOKUP($B37,'[12]Div 91 forecast'!$D$247:$AF$326,19,FALSE)</f>
        <v>331.0066915054685</v>
      </c>
      <c r="F37" s="123">
        <f>VLOOKUP($B37,'[12]Div 91 forecast'!$D$247:$AF$326,20,FALSE)</f>
        <v>1136.883102522924</v>
      </c>
      <c r="G37" s="123">
        <f>VLOOKUP($B37,'[12]Div 91 forecast'!$D$247:$AF$326,21,FALSE)</f>
        <v>343.77183547620166</v>
      </c>
      <c r="H37" s="123">
        <f>VLOOKUP($B37,'[12]Div 91 forecast'!$D$247:$AF$326,22,FALSE)</f>
        <v>342.78193786776501</v>
      </c>
      <c r="I37" s="123">
        <f>VLOOKUP($B37,'[12]Div 91 forecast'!$D$247:$AF$326,23,FALSE)</f>
        <v>745.33907523875087</v>
      </c>
      <c r="J37" s="123">
        <f>VLOOKUP($B37,'[12]Div 91 forecast'!$D$247:$AF$326,24,FALSE)</f>
        <v>324.96861520557286</v>
      </c>
      <c r="K37" s="123">
        <f>VLOOKUP($B37,'[12]Div 91 forecast'!$D$247:$AF$326,25,FALSE)</f>
        <v>1106.2030834705852</v>
      </c>
      <c r="L37" s="123">
        <f>VLOOKUP($B37,'[12]Div 91 forecast'!$D$247:$AF$326,26,FALSE)</f>
        <v>1699.5104584511546</v>
      </c>
      <c r="M37" s="123">
        <f>VLOOKUP($B37,'[12]Div 91 forecast'!$D$247:$AF$326,27,FALSE)</f>
        <v>308.7595976490523</v>
      </c>
      <c r="N37" s="123">
        <f>VLOOKUP($B37,'[12]Div 91 forecast'!$D$247:$AF$326,28,FALSE)</f>
        <v>446.29051460014995</v>
      </c>
      <c r="O37" s="123">
        <f>VLOOKUP($B37,'[12]Div 91 forecast'!$D$247:$AF$326,29,FALSE)</f>
        <v>1305.4011856863026</v>
      </c>
      <c r="P37" s="1">
        <f t="shared" si="0"/>
        <v>8779.7644609499366</v>
      </c>
      <c r="Q37" s="1"/>
      <c r="R37" s="468"/>
    </row>
    <row r="38" spans="1:18">
      <c r="A38" s="1122">
        <f t="shared" si="1"/>
        <v>27</v>
      </c>
      <c r="B38" s="468">
        <v>9200</v>
      </c>
      <c r="C38" s="1" t="s">
        <v>187</v>
      </c>
      <c r="D38" s="123">
        <f>VLOOKUP($B38,'[12]Div 91 forecast'!$D$247:$AF$326,18,FALSE)</f>
        <v>-2701.0030662781301</v>
      </c>
      <c r="E38" s="123">
        <f>VLOOKUP($B38,'[12]Div 91 forecast'!$D$247:$AF$326,19,FALSE)</f>
        <v>571.36603325114288</v>
      </c>
      <c r="F38" s="123">
        <f>VLOOKUP($B38,'[12]Div 91 forecast'!$D$247:$AF$326,20,FALSE)</f>
        <v>1356.2729072123088</v>
      </c>
      <c r="G38" s="123">
        <f>VLOOKUP($B38,'[12]Div 91 forecast'!$D$247:$AF$326,21,FALSE)</f>
        <v>42.708168142004624</v>
      </c>
      <c r="H38" s="123">
        <f>VLOOKUP($B38,'[12]Div 91 forecast'!$D$247:$AF$326,22,FALSE)</f>
        <v>-4687.5100222886695</v>
      </c>
      <c r="I38" s="123">
        <f>VLOOKUP($B38,'[12]Div 91 forecast'!$D$247:$AF$326,23,FALSE)</f>
        <v>6168.4446094830464</v>
      </c>
      <c r="J38" s="123">
        <f>VLOOKUP($B38,'[12]Div 91 forecast'!$D$247:$AF$326,24,FALSE)</f>
        <v>2090.3916893289288</v>
      </c>
      <c r="K38" s="123">
        <f>VLOOKUP($B38,'[12]Div 91 forecast'!$D$247:$AF$326,25,FALSE)</f>
        <v>-9840.1927948807952</v>
      </c>
      <c r="L38" s="123">
        <f>VLOOKUP($B38,'[12]Div 91 forecast'!$D$247:$AF$326,26,FALSE)</f>
        <v>201.99809256353538</v>
      </c>
      <c r="M38" s="123">
        <f>VLOOKUP($B38,'[12]Div 91 forecast'!$D$247:$AF$326,27,FALSE)</f>
        <v>1319.3361131435481</v>
      </c>
      <c r="N38" s="123">
        <f>VLOOKUP($B38,'[12]Div 91 forecast'!$D$247:$AF$326,28,FALSE)</f>
        <v>81.95351184006293</v>
      </c>
      <c r="O38" s="123">
        <f>VLOOKUP($B38,'[12]Div 91 forecast'!$D$247:$AF$326,29,FALSE)</f>
        <v>-1052.6986309596814</v>
      </c>
      <c r="P38" s="1">
        <f t="shared" si="0"/>
        <v>-6448.9333894426991</v>
      </c>
      <c r="Q38" s="1"/>
      <c r="R38" s="468"/>
    </row>
    <row r="39" spans="1:18">
      <c r="A39" s="1122">
        <f t="shared" si="1"/>
        <v>28</v>
      </c>
      <c r="B39" s="468">
        <v>9210</v>
      </c>
      <c r="C39" s="1" t="s">
        <v>963</v>
      </c>
      <c r="D39" s="123">
        <f>VLOOKUP($B39,'[12]Div 91 forecast'!$D$247:$AF$326,18,FALSE)</f>
        <v>652.71895510959303</v>
      </c>
      <c r="E39" s="123">
        <f>VLOOKUP($B39,'[12]Div 91 forecast'!$D$247:$AF$326,19,FALSE)</f>
        <v>653.56304290202218</v>
      </c>
      <c r="F39" s="123">
        <f>VLOOKUP($B39,'[12]Div 91 forecast'!$D$247:$AF$326,20,FALSE)</f>
        <v>633.35714667020807</v>
      </c>
      <c r="G39" s="123">
        <f>VLOOKUP($B39,'[12]Div 91 forecast'!$D$247:$AF$326,21,FALSE)</f>
        <v>994.87116696229782</v>
      </c>
      <c r="H39" s="123">
        <f>VLOOKUP($B39,'[12]Div 91 forecast'!$D$247:$AF$326,22,FALSE)</f>
        <v>652.13282996501925</v>
      </c>
      <c r="I39" s="123">
        <f>VLOOKUP($B39,'[12]Div 91 forecast'!$D$247:$AF$326,23,FALSE)</f>
        <v>749.66413721502727</v>
      </c>
      <c r="J39" s="123">
        <f>VLOOKUP($B39,'[12]Div 91 forecast'!$D$247:$AF$326,24,FALSE)</f>
        <v>650.33386263195234</v>
      </c>
      <c r="K39" s="123">
        <f>VLOOKUP($B39,'[12]Div 91 forecast'!$D$247:$AF$326,25,FALSE)</f>
        <v>695.48782963388658</v>
      </c>
      <c r="L39" s="123">
        <f>VLOOKUP($B39,'[12]Div 91 forecast'!$D$247:$AF$326,26,FALSE)</f>
        <v>643.74142306234444</v>
      </c>
      <c r="M39" s="123">
        <f>VLOOKUP($B39,'[12]Div 91 forecast'!$D$247:$AF$326,27,FALSE)</f>
        <v>671.82600988066474</v>
      </c>
      <c r="N39" s="123">
        <f>VLOOKUP($B39,'[12]Div 91 forecast'!$D$247:$AF$326,28,FALSE)</f>
        <v>656.94360739210288</v>
      </c>
      <c r="O39" s="123">
        <f>VLOOKUP($B39,'[12]Div 91 forecast'!$D$247:$AF$326,29,FALSE)</f>
        <v>641.62188354917589</v>
      </c>
      <c r="P39" s="1">
        <f t="shared" si="0"/>
        <v>8296.2618949742937</v>
      </c>
      <c r="Q39" s="1"/>
      <c r="R39" s="468"/>
    </row>
    <row r="40" spans="1:18">
      <c r="A40" s="1122">
        <f t="shared" si="1"/>
        <v>29</v>
      </c>
      <c r="B40" s="468">
        <v>9220</v>
      </c>
      <c r="C40" s="1" t="s">
        <v>964</v>
      </c>
      <c r="D40" s="123">
        <f t="shared" ref="D40:O40" si="2">-(SUM(D12:D39,D41:D46))</f>
        <v>-972863.32668000006</v>
      </c>
      <c r="E40" s="123">
        <f t="shared" si="2"/>
        <v>-1078374.4869600004</v>
      </c>
      <c r="F40" s="123">
        <f t="shared" si="2"/>
        <v>-933385.05720000016</v>
      </c>
      <c r="G40" s="123">
        <f t="shared" si="2"/>
        <v>-1123912.0066600002</v>
      </c>
      <c r="H40" s="123">
        <f t="shared" si="2"/>
        <v>-949351.37966514239</v>
      </c>
      <c r="I40" s="123">
        <f t="shared" si="2"/>
        <v>-1032591.4530757616</v>
      </c>
      <c r="J40" s="123">
        <f t="shared" si="2"/>
        <v>-1046154.350403685</v>
      </c>
      <c r="K40" s="123">
        <f t="shared" si="2"/>
        <v>-1048069.1170257614</v>
      </c>
      <c r="L40" s="123">
        <f t="shared" si="2"/>
        <v>-1056668.9310457616</v>
      </c>
      <c r="M40" s="123">
        <f t="shared" si="2"/>
        <v>-1045633.9042636851</v>
      </c>
      <c r="N40" s="123">
        <f t="shared" si="2"/>
        <v>-998612.88045576145</v>
      </c>
      <c r="O40" s="123">
        <f t="shared" si="2"/>
        <v>-1079427.0387351424</v>
      </c>
      <c r="P40" s="1">
        <f t="shared" si="0"/>
        <v>-12365043.932170702</v>
      </c>
      <c r="Q40" s="1"/>
    </row>
    <row r="41" spans="1:18">
      <c r="A41" s="1122">
        <f t="shared" si="1"/>
        <v>30</v>
      </c>
      <c r="B41" s="468">
        <v>9230</v>
      </c>
      <c r="C41" s="1" t="s">
        <v>965</v>
      </c>
      <c r="D41" s="123">
        <f>VLOOKUP($B41,'[12]Div 91 forecast'!$D$247:$AF$326,18,FALSE)</f>
        <v>15584.816968463116</v>
      </c>
      <c r="E41" s="123">
        <f>VLOOKUP($B41,'[12]Div 91 forecast'!$D$247:$AF$326,19,FALSE)</f>
        <v>15577.063622402406</v>
      </c>
      <c r="F41" s="123">
        <f>VLOOKUP($B41,'[12]Div 91 forecast'!$D$247:$AF$326,20,FALSE)</f>
        <v>15404.029492285908</v>
      </c>
      <c r="G41" s="123">
        <f>VLOOKUP($B41,'[12]Div 91 forecast'!$D$247:$AF$326,21,FALSE)</f>
        <v>25851.105437446378</v>
      </c>
      <c r="H41" s="123">
        <f>VLOOKUP($B41,'[12]Div 91 forecast'!$D$247:$AF$326,22,FALSE)</f>
        <v>15430.160048711428</v>
      </c>
      <c r="I41" s="123">
        <f>VLOOKUP($B41,'[12]Div 91 forecast'!$D$247:$AF$326,23,FALSE)</f>
        <v>14651.152353422915</v>
      </c>
      <c r="J41" s="123">
        <f>VLOOKUP($B41,'[12]Div 91 forecast'!$D$247:$AF$326,24,FALSE)</f>
        <v>16042.360262033562</v>
      </c>
      <c r="K41" s="123">
        <f>VLOOKUP($B41,'[12]Div 91 forecast'!$D$247:$AF$326,25,FALSE)</f>
        <v>15779.729789946392</v>
      </c>
      <c r="L41" s="123">
        <f>VLOOKUP($B41,'[12]Div 91 forecast'!$D$247:$AF$326,26,FALSE)</f>
        <v>16284.024839064059</v>
      </c>
      <c r="M41" s="123">
        <f>VLOOKUP($B41,'[12]Div 91 forecast'!$D$247:$AF$326,27,FALSE)</f>
        <v>16475.826950086463</v>
      </c>
      <c r="N41" s="123">
        <f>VLOOKUP($B41,'[12]Div 91 forecast'!$D$247:$AF$326,28,FALSE)</f>
        <v>15426.255726518179</v>
      </c>
      <c r="O41" s="123">
        <f>VLOOKUP($B41,'[12]Div 91 forecast'!$D$247:$AF$326,29,FALSE)</f>
        <v>15249.638974737793</v>
      </c>
      <c r="P41" s="1">
        <f t="shared" si="0"/>
        <v>197756.16446511858</v>
      </c>
      <c r="Q41" s="1"/>
    </row>
    <row r="42" spans="1:18">
      <c r="A42" s="1122">
        <f t="shared" si="1"/>
        <v>31</v>
      </c>
      <c r="B42" s="468">
        <v>9240</v>
      </c>
      <c r="C42" s="1" t="s">
        <v>966</v>
      </c>
      <c r="D42" s="123">
        <f>VLOOKUP($B42,'[12]Div 91 forecast'!$D$247:$AF$326,18,FALSE)</f>
        <v>-7357.8279216975743</v>
      </c>
      <c r="E42" s="123">
        <f>VLOOKUP($B42,'[12]Div 91 forecast'!$D$247:$AF$326,19,FALSE)</f>
        <v>-7388.3632326259285</v>
      </c>
      <c r="F42" s="123">
        <f>VLOOKUP($B42,'[12]Div 91 forecast'!$D$247:$AF$326,20,FALSE)</f>
        <v>-7355.8579016376807</v>
      </c>
      <c r="G42" s="123">
        <f>VLOOKUP($B42,'[12]Div 91 forecast'!$D$247:$AF$326,21,FALSE)</f>
        <v>-7357.8279216975743</v>
      </c>
      <c r="H42" s="123">
        <f>VLOOKUP($B42,'[12]Div 91 forecast'!$D$247:$AF$326,22,FALSE)</f>
        <v>-6911.2243741196362</v>
      </c>
      <c r="I42" s="123">
        <f>VLOOKUP($B42,'[12]Div 91 forecast'!$D$247:$AF$326,23,FALSE)</f>
        <v>-7030.016583731237</v>
      </c>
      <c r="J42" s="123">
        <f>VLOOKUP($B42,'[12]Div 91 forecast'!$D$247:$AF$326,24,FALSE)</f>
        <v>-6899.7982577722532</v>
      </c>
      <c r="K42" s="123">
        <f>VLOOKUP($B42,'[12]Div 91 forecast'!$D$247:$AF$326,25,FALSE)</f>
        <v>-6999.0872687909032</v>
      </c>
      <c r="L42" s="123">
        <f>VLOOKUP($B42,'[12]Div 91 forecast'!$D$247:$AF$326,26,FALSE)</f>
        <v>-7021.7424994796829</v>
      </c>
      <c r="M42" s="123">
        <f>VLOOKUP($B42,'[12]Div 91 forecast'!$D$247:$AF$326,27,FALSE)</f>
        <v>-7403.7293890931014</v>
      </c>
      <c r="N42" s="123">
        <f>VLOOKUP($B42,'[12]Div 91 forecast'!$D$247:$AF$326,28,FALSE)</f>
        <v>-7370.0420460689156</v>
      </c>
      <c r="O42" s="123">
        <f>VLOOKUP($B42,'[12]Div 91 forecast'!$D$247:$AF$326,29,FALSE)</f>
        <v>-7357.8279216975743</v>
      </c>
      <c r="P42" s="1">
        <f t="shared" si="0"/>
        <v>-86453.345318412074</v>
      </c>
      <c r="Q42" s="1"/>
      <c r="R42" s="468"/>
    </row>
    <row r="43" spans="1:18">
      <c r="A43" s="1122">
        <f t="shared" si="1"/>
        <v>32</v>
      </c>
      <c r="B43" s="468">
        <v>9250</v>
      </c>
      <c r="C43" s="1" t="s">
        <v>967</v>
      </c>
      <c r="D43" s="123">
        <f>VLOOKUP($B43,'[12]Div 91 forecast'!$D$247:$AF$326,18,FALSE)</f>
        <v>58920.693322476109</v>
      </c>
      <c r="E43" s="123">
        <f>VLOOKUP($B43,'[12]Div 91 forecast'!$D$247:$AF$326,19,FALSE)</f>
        <v>57547.749242295475</v>
      </c>
      <c r="F43" s="123">
        <f>VLOOKUP($B43,'[12]Div 91 forecast'!$D$247:$AF$326,20,FALSE)</f>
        <v>60364.234722746529</v>
      </c>
      <c r="G43" s="123">
        <f>VLOOKUP($B43,'[12]Div 91 forecast'!$D$247:$AF$326,21,FALSE)</f>
        <v>58915.398410623719</v>
      </c>
      <c r="H43" s="123">
        <f>VLOOKUP($B43,'[12]Div 91 forecast'!$D$247:$AF$326,22,FALSE)</f>
        <v>68022.118383068577</v>
      </c>
      <c r="I43" s="123">
        <f>VLOOKUP($B43,'[12]Div 91 forecast'!$D$247:$AF$326,23,FALSE)</f>
        <v>65942.828491783832</v>
      </c>
      <c r="J43" s="123">
        <f>VLOOKUP($B43,'[12]Div 91 forecast'!$D$247:$AF$326,24,FALSE)</f>
        <v>70353.09059018307</v>
      </c>
      <c r="K43" s="123">
        <f>VLOOKUP($B43,'[12]Div 91 forecast'!$D$247:$AF$326,25,FALSE)</f>
        <v>65872.214218386143</v>
      </c>
      <c r="L43" s="123">
        <f>VLOOKUP($B43,'[12]Div 91 forecast'!$D$247:$AF$326,26,FALSE)</f>
        <v>65923.959551953129</v>
      </c>
      <c r="M43" s="123">
        <f>VLOOKUP($B43,'[12]Div 91 forecast'!$D$247:$AF$326,27,FALSE)</f>
        <v>71519.396939153885</v>
      </c>
      <c r="N43" s="123">
        <f>VLOOKUP($B43,'[12]Div 91 forecast'!$D$247:$AF$326,28,FALSE)</f>
        <v>66729.462675994248</v>
      </c>
      <c r="O43" s="123">
        <f>VLOOKUP($B43,'[12]Div 91 forecast'!$D$247:$AF$326,29,FALSE)</f>
        <v>69058.675360902416</v>
      </c>
      <c r="P43" s="1">
        <f t="shared" si="0"/>
        <v>779169.82190956722</v>
      </c>
      <c r="Q43" s="1"/>
      <c r="R43" s="468"/>
    </row>
    <row r="44" spans="1:18">
      <c r="A44" s="1122">
        <f t="shared" si="1"/>
        <v>33</v>
      </c>
      <c r="B44" s="477">
        <v>9260</v>
      </c>
      <c r="C44" s="1" t="s">
        <v>968</v>
      </c>
      <c r="D44" s="123">
        <f>VLOOKUP($B44,'[12]Div 91 forecast'!$D$247:$AF$326,18,FALSE)</f>
        <v>153607.92336360647</v>
      </c>
      <c r="E44" s="123">
        <f>VLOOKUP($B44,'[12]Div 91 forecast'!$D$247:$AF$326,19,FALSE)</f>
        <v>291981.47924082557</v>
      </c>
      <c r="F44" s="123">
        <f>VLOOKUP($B44,'[12]Div 91 forecast'!$D$247:$AF$326,20,FALSE)</f>
        <v>84671.618999420098</v>
      </c>
      <c r="G44" s="123">
        <f>VLOOKUP($B44,'[12]Div 91 forecast'!$D$247:$AF$326,21,FALSE)</f>
        <v>82942.84796356436</v>
      </c>
      <c r="H44" s="123">
        <f>VLOOKUP($B44,'[12]Div 91 forecast'!$D$247:$AF$326,22,FALSE)</f>
        <v>165448.28342849249</v>
      </c>
      <c r="I44" s="123">
        <f>VLOOKUP($B44,'[12]Div 91 forecast'!$D$247:$AF$326,23,FALSE)</f>
        <v>182485.35701534463</v>
      </c>
      <c r="J44" s="123">
        <f>VLOOKUP($B44,'[12]Div 91 forecast'!$D$247:$AF$326,24,FALSE)</f>
        <v>196065.89634939437</v>
      </c>
      <c r="K44" s="123">
        <f>VLOOKUP($B44,'[12]Div 91 forecast'!$D$247:$AF$326,25,FALSE)</f>
        <v>198225.67020314772</v>
      </c>
      <c r="L44" s="123">
        <f>VLOOKUP($B44,'[12]Div 91 forecast'!$D$247:$AF$326,26,FALSE)</f>
        <v>187032.121533428</v>
      </c>
      <c r="M44" s="123">
        <f>VLOOKUP($B44,'[12]Div 91 forecast'!$D$247:$AF$326,27,FALSE)</f>
        <v>186303.39270350596</v>
      </c>
      <c r="N44" s="123">
        <f>VLOOKUP($B44,'[12]Div 91 forecast'!$D$247:$AF$326,28,FALSE)</f>
        <v>170800.6912239065</v>
      </c>
      <c r="O44" s="123">
        <f>VLOOKUP($B44,'[12]Div 91 forecast'!$D$247:$AF$326,29,FALSE)</f>
        <v>202585.64212821223</v>
      </c>
      <c r="P44" s="1">
        <f t="shared" si="0"/>
        <v>2102150.9241528488</v>
      </c>
      <c r="Q44" s="1"/>
      <c r="R44" s="468"/>
    </row>
    <row r="45" spans="1:18">
      <c r="A45" s="1122">
        <f t="shared" si="1"/>
        <v>34</v>
      </c>
      <c r="B45" s="468">
        <v>9302</v>
      </c>
      <c r="C45" s="1" t="s">
        <v>875</v>
      </c>
      <c r="D45" s="123">
        <f>VLOOKUP($B45,'[12]Div 91 forecast'!$D$247:$AF$326,18,FALSE)</f>
        <v>11715.779497880436</v>
      </c>
      <c r="E45" s="123">
        <f>VLOOKUP($B45,'[12]Div 91 forecast'!$D$247:$AF$326,19,FALSE)</f>
        <v>9485.8724613470367</v>
      </c>
      <c r="F45" s="123">
        <f>VLOOKUP($B45,'[12]Div 91 forecast'!$D$247:$AF$326,20,FALSE)</f>
        <v>21494.622270839907</v>
      </c>
      <c r="G45" s="123">
        <f>VLOOKUP($B45,'[12]Div 91 forecast'!$D$247:$AF$326,21,FALSE)</f>
        <v>18198.918330529603</v>
      </c>
      <c r="H45" s="123">
        <f>VLOOKUP($B45,'[12]Div 91 forecast'!$D$247:$AF$326,22,FALSE)</f>
        <v>11737.433062865735</v>
      </c>
      <c r="I45" s="123">
        <f>VLOOKUP($B45,'[12]Div 91 forecast'!$D$247:$AF$326,23,FALSE)</f>
        <v>12127.970059160927</v>
      </c>
      <c r="J45" s="123">
        <f>VLOOKUP($B45,'[12]Div 91 forecast'!$D$247:$AF$326,24,FALSE)</f>
        <v>19055.595601028941</v>
      </c>
      <c r="K45" s="123">
        <f>VLOOKUP($B45,'[12]Div 91 forecast'!$D$247:$AF$326,25,FALSE)</f>
        <v>6224.086290409844</v>
      </c>
      <c r="L45" s="123">
        <f>VLOOKUP($B45,'[12]Div 91 forecast'!$D$247:$AF$326,26,FALSE)</f>
        <v>8793.8826905976894</v>
      </c>
      <c r="M45" s="123">
        <f>VLOOKUP($B45,'[12]Div 91 forecast'!$D$247:$AF$326,27,FALSE)</f>
        <v>6113.4245529495875</v>
      </c>
      <c r="N45" s="123">
        <f>VLOOKUP($B45,'[12]Div 91 forecast'!$D$247:$AF$326,28,FALSE)</f>
        <v>13628.667740166695</v>
      </c>
      <c r="O45" s="123">
        <f>VLOOKUP($B45,'[12]Div 91 forecast'!$D$247:$AF$326,29,FALSE)</f>
        <v>11732.629879434166</v>
      </c>
      <c r="P45" s="1">
        <f t="shared" si="0"/>
        <v>150308.88243721056</v>
      </c>
      <c r="Q45" s="1"/>
      <c r="R45" s="468"/>
    </row>
    <row r="46" spans="1:18">
      <c r="A46" s="1122">
        <f t="shared" si="1"/>
        <v>35</v>
      </c>
      <c r="B46" s="468">
        <v>9310</v>
      </c>
      <c r="C46" s="1" t="s">
        <v>189</v>
      </c>
      <c r="D46" s="123">
        <f>VLOOKUP($B46,'[12]Div 91 forecast'!$D$247:$AF$326,18,FALSE)</f>
        <v>6.8877243192652999</v>
      </c>
      <c r="E46" s="123">
        <f>VLOOKUP($B46,'[12]Div 91 forecast'!$D$247:$AF$326,19,FALSE)</f>
        <v>6.7909237423827946</v>
      </c>
      <c r="F46" s="123">
        <f>VLOOKUP($B46,'[12]Div 91 forecast'!$D$247:$AF$326,20,FALSE)</f>
        <v>6.8651012630950063</v>
      </c>
      <c r="G46" s="123">
        <f>VLOOKUP($B46,'[12]Div 91 forecast'!$D$247:$AF$326,21,FALSE)</f>
        <v>6.6690985849057665</v>
      </c>
      <c r="H46" s="123">
        <f>VLOOKUP($B46,'[12]Div 91 forecast'!$D$247:$AF$326,22,FALSE)</f>
        <v>6.4489675471933596</v>
      </c>
      <c r="I46" s="123">
        <f>VLOOKUP($B46,'[12]Div 91 forecast'!$D$247:$AF$326,23,FALSE)</f>
        <v>6.5214048328155494</v>
      </c>
      <c r="J46" s="123">
        <f>VLOOKUP($B46,'[12]Div 91 forecast'!$D$247:$AF$326,24,FALSE)</f>
        <v>7.0539167703624557</v>
      </c>
      <c r="K46" s="123">
        <f>VLOOKUP($B46,'[12]Div 91 forecast'!$D$247:$AF$326,25,FALSE)</f>
        <v>7.4704855450366079</v>
      </c>
      <c r="L46" s="123">
        <f>VLOOKUP($B46,'[12]Div 91 forecast'!$D$247:$AF$326,26,FALSE)</f>
        <v>7.6410285838588194</v>
      </c>
      <c r="M46" s="123">
        <f>VLOOKUP($B46,'[12]Div 91 forecast'!$D$247:$AF$326,27,FALSE)</f>
        <v>7.7765493914943269</v>
      </c>
      <c r="N46" s="123">
        <f>VLOOKUP($B46,'[12]Div 91 forecast'!$D$247:$AF$326,28,FALSE)</f>
        <v>7.8326719731475549</v>
      </c>
      <c r="O46" s="123">
        <f>VLOOKUP($B46,'[12]Div 91 forecast'!$D$247:$AF$326,29,FALSE)</f>
        <v>7.1613762871713487</v>
      </c>
      <c r="P46" s="1">
        <f t="shared" si="0"/>
        <v>85.119248840728886</v>
      </c>
      <c r="Q46" s="1"/>
    </row>
    <row r="47" spans="1:18">
      <c r="A47" s="1122">
        <f t="shared" si="1"/>
        <v>36</v>
      </c>
      <c r="B47" s="1"/>
      <c r="C47" s="242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4"/>
      <c r="O47" s="1"/>
      <c r="P47" s="1"/>
      <c r="Q47" s="771"/>
    </row>
    <row r="48" spans="1:18" ht="15.75" thickBot="1">
      <c r="A48" s="1122">
        <f t="shared" si="1"/>
        <v>37</v>
      </c>
      <c r="B48" s="1" t="s">
        <v>751</v>
      </c>
      <c r="C48" s="242"/>
      <c r="D48" s="154">
        <f t="shared" ref="D48:P48" si="3">SUM(D12:D47)</f>
        <v>-5.6632920575339085E-11</v>
      </c>
      <c r="E48" s="154">
        <f t="shared" si="3"/>
        <v>-1.255173742720217E-10</v>
      </c>
      <c r="F48" s="154">
        <f t="shared" si="3"/>
        <v>1.0246736792396405E-10</v>
      </c>
      <c r="G48" s="154">
        <f t="shared" si="3"/>
        <v>-7.9710460454407439E-11</v>
      </c>
      <c r="H48" s="154">
        <f t="shared" si="3"/>
        <v>2.4710011814477184E-11</v>
      </c>
      <c r="I48" s="154">
        <f t="shared" si="3"/>
        <v>-2.0647483722768811E-11</v>
      </c>
      <c r="J48" s="154">
        <f t="shared" si="3"/>
        <v>4.1517012050462654E-11</v>
      </c>
      <c r="K48" s="154">
        <f t="shared" si="3"/>
        <v>2.4127011499786022E-10</v>
      </c>
      <c r="L48" s="154">
        <f t="shared" si="3"/>
        <v>9.6001429028547136E-11</v>
      </c>
      <c r="M48" s="154">
        <f t="shared" si="3"/>
        <v>-6.9215744247230759E-12</v>
      </c>
      <c r="N48" s="154">
        <f t="shared" si="3"/>
        <v>4.4764192352886312E-12</v>
      </c>
      <c r="O48" s="154">
        <f t="shared" si="3"/>
        <v>-1.9443469057023322E-10</v>
      </c>
      <c r="P48" s="154">
        <f t="shared" si="3"/>
        <v>2.1284165541146649E-9</v>
      </c>
      <c r="Q48" s="1"/>
    </row>
    <row r="49" spans="1:17" ht="15.75" thickTop="1">
      <c r="A49" s="1122">
        <f t="shared" si="1"/>
        <v>38</v>
      </c>
      <c r="B49" s="1"/>
      <c r="C49" s="242"/>
      <c r="D49" s="1"/>
      <c r="E49" s="1"/>
      <c r="F49" s="1"/>
      <c r="G49" s="1"/>
      <c r="H49" s="1"/>
      <c r="I49" s="1"/>
      <c r="J49" s="1"/>
      <c r="K49" s="1"/>
      <c r="L49" s="1"/>
      <c r="M49" s="1"/>
      <c r="N49" s="107"/>
      <c r="O49" s="1"/>
      <c r="P49" s="1"/>
      <c r="Q49" s="1"/>
    </row>
    <row r="50" spans="1:17">
      <c r="A50" s="1122">
        <f t="shared" si="1"/>
        <v>39</v>
      </c>
      <c r="B50" s="468">
        <f t="shared" ref="B50:O50" si="4">B40</f>
        <v>9220</v>
      </c>
      <c r="C50" s="1" t="str">
        <f t="shared" si="4"/>
        <v>A&amp;G-Administrative expense transferred-Credit</v>
      </c>
      <c r="D50" s="1">
        <f t="shared" si="4"/>
        <v>-972863.32668000006</v>
      </c>
      <c r="E50" s="1">
        <f t="shared" si="4"/>
        <v>-1078374.4869600004</v>
      </c>
      <c r="F50" s="1">
        <f t="shared" si="4"/>
        <v>-933385.05720000016</v>
      </c>
      <c r="G50" s="1">
        <f t="shared" si="4"/>
        <v>-1123912.0066600002</v>
      </c>
      <c r="H50" s="1">
        <f t="shared" si="4"/>
        <v>-949351.37966514239</v>
      </c>
      <c r="I50" s="1">
        <f t="shared" si="4"/>
        <v>-1032591.4530757616</v>
      </c>
      <c r="J50" s="1">
        <f t="shared" si="4"/>
        <v>-1046154.350403685</v>
      </c>
      <c r="K50" s="1">
        <f t="shared" si="4"/>
        <v>-1048069.1170257614</v>
      </c>
      <c r="L50" s="1">
        <f t="shared" si="4"/>
        <v>-1056668.9310457616</v>
      </c>
      <c r="M50" s="1">
        <f t="shared" si="4"/>
        <v>-1045633.9042636851</v>
      </c>
      <c r="N50" s="1">
        <f t="shared" si="4"/>
        <v>-998612.88045576145</v>
      </c>
      <c r="O50" s="1">
        <f t="shared" si="4"/>
        <v>-1079427.0387351424</v>
      </c>
      <c r="P50" s="1">
        <f>SUM(D50:O50)</f>
        <v>-12365043.932170702</v>
      </c>
      <c r="Q50" s="1"/>
    </row>
    <row r="51" spans="1:17">
      <c r="A51" s="1122">
        <f t="shared" si="1"/>
        <v>40</v>
      </c>
      <c r="B51" s="1"/>
      <c r="C51" s="1" t="s">
        <v>200</v>
      </c>
      <c r="D51" s="484">
        <f>Allocation!$E$17</f>
        <v>0.49090457251500325</v>
      </c>
      <c r="E51" s="484">
        <f>D51</f>
        <v>0.49090457251500325</v>
      </c>
      <c r="F51" s="484">
        <f t="shared" ref="F51:O51" si="5">E51</f>
        <v>0.49090457251500325</v>
      </c>
      <c r="G51" s="484">
        <f t="shared" si="5"/>
        <v>0.49090457251500325</v>
      </c>
      <c r="H51" s="484">
        <f t="shared" si="5"/>
        <v>0.49090457251500325</v>
      </c>
      <c r="I51" s="484">
        <f t="shared" si="5"/>
        <v>0.49090457251500325</v>
      </c>
      <c r="J51" s="484">
        <f t="shared" si="5"/>
        <v>0.49090457251500325</v>
      </c>
      <c r="K51" s="484">
        <f t="shared" si="5"/>
        <v>0.49090457251500325</v>
      </c>
      <c r="L51" s="484">
        <f t="shared" si="5"/>
        <v>0.49090457251500325</v>
      </c>
      <c r="M51" s="484">
        <f t="shared" si="5"/>
        <v>0.49090457251500325</v>
      </c>
      <c r="N51" s="484">
        <f t="shared" si="5"/>
        <v>0.49090457251500325</v>
      </c>
      <c r="O51" s="484">
        <f t="shared" si="5"/>
        <v>0.49090457251500325</v>
      </c>
      <c r="P51" s="1070">
        <f>P52/P50</f>
        <v>0.49090457251500325</v>
      </c>
      <c r="Q51" s="1"/>
    </row>
    <row r="52" spans="1:17">
      <c r="A52" s="1122">
        <f t="shared" si="1"/>
        <v>41</v>
      </c>
      <c r="B52" s="1"/>
      <c r="C52" s="1" t="s">
        <v>215</v>
      </c>
      <c r="D52" s="1">
        <f>D50*D51</f>
        <v>-477583.05549936939</v>
      </c>
      <c r="E52" s="1">
        <f t="shared" ref="E52:O52" si="6">E50*E51</f>
        <v>-529378.96653218498</v>
      </c>
      <c r="F52" s="1">
        <f t="shared" si="6"/>
        <v>-458202.99249665794</v>
      </c>
      <c r="G52" s="1">
        <f t="shared" si="6"/>
        <v>-551733.54317390686</v>
      </c>
      <c r="H52" s="1">
        <f t="shared" si="6"/>
        <v>-466040.93320104526</v>
      </c>
      <c r="I52" s="1">
        <f t="shared" si="6"/>
        <v>-506903.86585480277</v>
      </c>
      <c r="J52" s="1">
        <f t="shared" si="6"/>
        <v>-513561.95416963188</v>
      </c>
      <c r="K52" s="1">
        <f t="shared" si="6"/>
        <v>-514501.92185970832</v>
      </c>
      <c r="L52" s="1">
        <f t="shared" si="6"/>
        <v>-518723.60988490505</v>
      </c>
      <c r="M52" s="1">
        <f t="shared" si="6"/>
        <v>-513306.46477975819</v>
      </c>
      <c r="N52" s="1">
        <f t="shared" si="6"/>
        <v>-490223.62918811163</v>
      </c>
      <c r="O52" s="1">
        <f t="shared" si="6"/>
        <v>-529895.66901141091</v>
      </c>
      <c r="P52" s="1">
        <f>SUM(D52:O52)</f>
        <v>-6070056.6056514932</v>
      </c>
      <c r="Q52" s="1"/>
    </row>
    <row r="53" spans="1:17">
      <c r="A53" s="1"/>
      <c r="B53" s="1"/>
      <c r="C53" s="242"/>
      <c r="D53" s="250"/>
      <c r="E53" s="1"/>
      <c r="F53" s="1"/>
      <c r="G53" s="1"/>
      <c r="H53" s="1"/>
      <c r="I53" s="1"/>
      <c r="J53" s="47"/>
      <c r="K53" s="47"/>
      <c r="L53" s="47"/>
      <c r="M53" s="47"/>
      <c r="N53" s="100"/>
      <c r="O53" s="47"/>
      <c r="P53" s="47"/>
      <c r="Q53" s="1"/>
    </row>
    <row r="54" spans="1:17">
      <c r="A54" s="1"/>
      <c r="B54" s="1"/>
      <c r="C54" s="242"/>
      <c r="D54" s="1"/>
      <c r="E54" s="1"/>
      <c r="F54" s="1"/>
      <c r="G54" s="1"/>
      <c r="H54" s="1"/>
      <c r="I54" s="1"/>
      <c r="J54" s="1"/>
      <c r="K54" s="1"/>
      <c r="L54" s="1"/>
      <c r="M54" s="1"/>
      <c r="N54" s="100"/>
      <c r="O54" s="47"/>
      <c r="P54" s="1"/>
      <c r="Q54" s="1"/>
    </row>
    <row r="55" spans="1:17">
      <c r="A55" s="1"/>
      <c r="B55" s="1" t="s">
        <v>578</v>
      </c>
      <c r="C55" s="242"/>
      <c r="D55" s="1"/>
      <c r="E55" s="1"/>
      <c r="F55" s="1"/>
      <c r="G55" s="1"/>
      <c r="H55" s="1"/>
      <c r="I55" s="1"/>
      <c r="J55" s="1"/>
      <c r="K55" s="1"/>
      <c r="L55" s="1"/>
      <c r="M55" s="1"/>
      <c r="N55" s="100"/>
      <c r="O55" s="47"/>
      <c r="P55" s="1"/>
      <c r="Q55" s="1"/>
    </row>
    <row r="56" spans="1:17">
      <c r="A56" s="1"/>
      <c r="B56" s="1"/>
      <c r="C56" s="242"/>
      <c r="D56" s="1"/>
      <c r="E56" s="1"/>
      <c r="F56" s="1"/>
      <c r="G56" s="1"/>
      <c r="H56" s="1"/>
      <c r="I56" s="1"/>
      <c r="J56" s="1"/>
      <c r="K56" s="1"/>
      <c r="L56" s="1"/>
      <c r="M56" s="1"/>
      <c r="N56" s="100"/>
      <c r="O56" s="47"/>
      <c r="P56" s="1"/>
      <c r="Q56" s="1"/>
    </row>
    <row r="57" spans="1:17">
      <c r="A57" s="1"/>
      <c r="B57" s="1"/>
      <c r="C57" s="491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"/>
      <c r="Q59" s="1"/>
    </row>
    <row r="60" spans="1:17">
      <c r="A60" s="1"/>
      <c r="B60" s="1" t="s">
        <v>972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07"/>
      <c r="O60" s="1"/>
      <c r="P60" s="1"/>
      <c r="Q60" s="1"/>
    </row>
    <row r="61" spans="1:17">
      <c r="A61" s="1"/>
      <c r="B61" s="1" t="s">
        <v>1594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07"/>
      <c r="O61" s="505"/>
      <c r="P61" s="107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07"/>
      <c r="O62" s="233"/>
      <c r="P62" s="107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07"/>
      <c r="O63" s="233"/>
      <c r="P63" s="107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07"/>
      <c r="O64" s="1"/>
      <c r="P64" s="1"/>
      <c r="Q64" s="1"/>
    </row>
    <row r="65" spans="1:17">
      <c r="A65" s="1"/>
      <c r="Q65" s="1"/>
    </row>
    <row r="66" spans="1:17">
      <c r="A66" s="1"/>
      <c r="Q66" s="1"/>
    </row>
    <row r="67" spans="1:17">
      <c r="Q67" s="1"/>
    </row>
    <row r="68" spans="1:17">
      <c r="Q68" s="1"/>
    </row>
    <row r="69" spans="1:17">
      <c r="Q69" s="1"/>
    </row>
    <row r="70" spans="1:17">
      <c r="Q70" s="1"/>
    </row>
    <row r="71" spans="1:17">
      <c r="Q71" s="1"/>
    </row>
    <row r="72" spans="1:17">
      <c r="Q72" s="1"/>
    </row>
    <row r="73" spans="1:17">
      <c r="Q73" s="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4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84"/>
  <sheetViews>
    <sheetView view="pageBreakPreview" zoomScale="60" zoomScaleNormal="70" workbookViewId="0">
      <pane xSplit="2" ySplit="10" topLeftCell="C53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RowHeight="15"/>
  <cols>
    <col min="1" max="1" width="4.6640625" style="60" customWidth="1"/>
    <col min="2" max="2" width="40.6640625" style="60" customWidth="1"/>
    <col min="3" max="3" width="9.5546875" style="60" bestFit="1" customWidth="1"/>
    <col min="4" max="4" width="10.6640625" style="60" customWidth="1"/>
    <col min="5" max="5" width="11.33203125" style="60" customWidth="1"/>
    <col min="6" max="6" width="11.109375" style="60" customWidth="1"/>
    <col min="7" max="7" width="10.88671875" style="60" customWidth="1"/>
    <col min="8" max="8" width="11.77734375" style="60" customWidth="1"/>
    <col min="9" max="9" width="10.33203125" style="60" customWidth="1"/>
    <col min="10" max="14" width="9.6640625" style="60" customWidth="1"/>
    <col min="15" max="15" width="13.77734375" style="60" customWidth="1"/>
    <col min="16" max="16" width="9.77734375" style="60" bestFit="1" customWidth="1"/>
    <col min="17" max="17" width="11.44140625" style="60" bestFit="1" customWidth="1"/>
    <col min="18" max="16384" width="8.88671875" style="60"/>
  </cols>
  <sheetData>
    <row r="1" spans="1:24" s="79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59" t="s">
        <v>197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"/>
      <c r="Q3" s="1"/>
      <c r="R3" s="1"/>
      <c r="S3" s="1"/>
      <c r="T3" s="1"/>
      <c r="U3" s="1"/>
      <c r="V3" s="1"/>
      <c r="W3" s="1"/>
      <c r="X3" s="1"/>
    </row>
    <row r="4" spans="1:24" s="277" customFormat="1">
      <c r="A4" s="1259" t="str">
        <f>'Table of Contents'!A3:C3</f>
        <v>Base Period: Twelve Months Ended February 29, 2016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"/>
      <c r="Q4" s="1060"/>
      <c r="R4" s="60"/>
      <c r="S4" s="60"/>
      <c r="T4" s="60"/>
      <c r="U4" s="60"/>
      <c r="V4" s="60"/>
      <c r="W4" s="60"/>
      <c r="X4" s="60"/>
    </row>
    <row r="5" spans="1:24" s="277" customFormat="1">
      <c r="A5" s="107"/>
      <c r="B5" s="206"/>
      <c r="C5" s="206"/>
      <c r="D5" s="40"/>
      <c r="E5" s="40"/>
      <c r="F5" s="275"/>
      <c r="G5" s="83"/>
      <c r="H5" s="83"/>
      <c r="I5" s="83"/>
      <c r="J5" s="771"/>
      <c r="K5" s="797"/>
      <c r="L5" s="60"/>
      <c r="M5" s="60"/>
      <c r="N5" s="60"/>
      <c r="O5" s="60"/>
      <c r="P5" s="60"/>
      <c r="Q5" s="1066"/>
      <c r="R5" s="60"/>
      <c r="S5" s="60"/>
      <c r="T5" s="60"/>
      <c r="U5" s="60"/>
      <c r="V5" s="60"/>
      <c r="W5" s="60"/>
      <c r="X5" s="60"/>
    </row>
    <row r="6" spans="1:24" s="277" customFormat="1">
      <c r="A6" s="311" t="str">
        <f>'C.2.1 B'!A6</f>
        <v>Data:___X____Base Period________Forecasted Period</v>
      </c>
      <c r="B6" s="268"/>
      <c r="C6" s="268"/>
      <c r="D6" s="60"/>
      <c r="E6" s="60"/>
      <c r="F6" s="60"/>
      <c r="G6" s="60"/>
      <c r="H6" s="60"/>
      <c r="I6" s="83"/>
      <c r="J6" s="60"/>
      <c r="K6" s="60"/>
      <c r="L6" s="60"/>
      <c r="M6" s="308"/>
      <c r="N6" s="60"/>
      <c r="O6" s="678" t="s">
        <v>1525</v>
      </c>
      <c r="P6" s="1"/>
      <c r="Q6" s="60"/>
      <c r="R6" s="60"/>
      <c r="S6" s="60"/>
      <c r="T6" s="60"/>
      <c r="U6" s="60"/>
      <c r="V6" s="60"/>
      <c r="W6" s="60"/>
      <c r="X6" s="60"/>
    </row>
    <row r="7" spans="1:24" s="277" customFormat="1">
      <c r="A7" s="311" t="str">
        <f>'C.2.1 B'!A7</f>
        <v>Type of Filing:___X____Original________Updated ________Revised</v>
      </c>
      <c r="B7" s="268"/>
      <c r="C7" s="268"/>
      <c r="D7" s="60"/>
      <c r="E7" s="771"/>
      <c r="F7" s="60"/>
      <c r="G7" s="60"/>
      <c r="H7" s="60"/>
      <c r="I7" s="83"/>
      <c r="J7" s="771"/>
      <c r="K7" s="60"/>
      <c r="L7" s="60"/>
      <c r="M7" s="308"/>
      <c r="N7" s="280"/>
      <c r="O7" s="679" t="s">
        <v>730</v>
      </c>
      <c r="P7" s="60"/>
      <c r="Q7" s="60"/>
      <c r="R7" s="60"/>
      <c r="S7" s="60"/>
      <c r="T7" s="60"/>
      <c r="U7" s="60"/>
      <c r="V7" s="60"/>
      <c r="W7" s="60"/>
      <c r="X7" s="60"/>
    </row>
    <row r="8" spans="1:24" s="277" customFormat="1">
      <c r="A8" s="401" t="str">
        <f>'C.2.1 B'!A8</f>
        <v>Workpaper Reference No(s).____________________</v>
      </c>
      <c r="B8" s="315"/>
      <c r="C8" s="314"/>
      <c r="D8" s="262"/>
      <c r="E8" s="262"/>
      <c r="F8" s="262"/>
      <c r="G8" s="262"/>
      <c r="H8" s="262"/>
      <c r="I8" s="83"/>
      <c r="J8" s="262"/>
      <c r="K8" s="86"/>
      <c r="L8" s="86"/>
      <c r="M8" s="315"/>
      <c r="N8" s="282"/>
      <c r="O8" s="680" t="s">
        <v>1392</v>
      </c>
      <c r="P8" s="60"/>
      <c r="Q8" s="60"/>
      <c r="R8" s="60"/>
      <c r="S8" s="60"/>
      <c r="T8" s="60"/>
      <c r="U8" s="60"/>
      <c r="V8" s="60"/>
      <c r="W8" s="60"/>
      <c r="X8" s="60"/>
    </row>
    <row r="9" spans="1:24" s="277" customFormat="1">
      <c r="A9" s="402" t="s">
        <v>98</v>
      </c>
      <c r="B9" s="268"/>
      <c r="C9" s="373" t="str">
        <f>'C.2.2 B 09'!D9</f>
        <v>actual</v>
      </c>
      <c r="D9" s="281" t="str">
        <f>'C.2.2 B 09'!E9</f>
        <v>actual</v>
      </c>
      <c r="E9" s="281" t="str">
        <f>'C.2.2 B 09'!F9</f>
        <v>actual</v>
      </c>
      <c r="F9" s="281" t="str">
        <f>'C.2.2 B 09'!G9</f>
        <v>actual</v>
      </c>
      <c r="G9" s="281" t="str">
        <f>'C.2.2 B 09'!H9</f>
        <v>actual</v>
      </c>
      <c r="H9" s="281" t="str">
        <f>'C.2.2 B 09'!I9</f>
        <v>actual</v>
      </c>
      <c r="I9" s="1117" t="str">
        <f>'C.2.2 B 09'!J9</f>
        <v>Forecasted</v>
      </c>
      <c r="J9" s="281" t="str">
        <f>'C.2.2 B 09'!K9</f>
        <v>Budgeted</v>
      </c>
      <c r="K9" s="281" t="str">
        <f>'C.2.2 B 09'!L9</f>
        <v>Budgeted</v>
      </c>
      <c r="L9" s="281" t="str">
        <f>'C.2.2 B 09'!M9</f>
        <v>Budgeted</v>
      </c>
      <c r="M9" s="281" t="str">
        <f>'C.2.2 B 09'!N9</f>
        <v>Budgeted</v>
      </c>
      <c r="N9" s="281" t="str">
        <f>'C.2.2 B 09'!O9</f>
        <v>Budgeted</v>
      </c>
      <c r="O9" s="398"/>
      <c r="P9" s="60"/>
      <c r="Q9" s="60"/>
      <c r="R9" s="60"/>
      <c r="S9" s="60"/>
      <c r="T9" s="60"/>
      <c r="U9" s="60"/>
      <c r="V9" s="60"/>
      <c r="W9" s="60"/>
      <c r="X9" s="60"/>
    </row>
    <row r="10" spans="1:24" s="277" customFormat="1">
      <c r="A10" s="403" t="s">
        <v>104</v>
      </c>
      <c r="B10" s="279" t="s">
        <v>196</v>
      </c>
      <c r="C10" s="283">
        <f>'C.2.2 B 09'!D10</f>
        <v>42094</v>
      </c>
      <c r="D10" s="283">
        <f>'C.2.2 B 09'!E10</f>
        <v>42095</v>
      </c>
      <c r="E10" s="283">
        <f>'C.2.2 B 09'!F10</f>
        <v>42155</v>
      </c>
      <c r="F10" s="283">
        <f>'C.2.2 B 09'!G10</f>
        <v>42185</v>
      </c>
      <c r="G10" s="283">
        <f>'C.2.2 B 09'!H10</f>
        <v>42216</v>
      </c>
      <c r="H10" s="283">
        <f>'C.2.2 B 09'!I10</f>
        <v>42247</v>
      </c>
      <c r="I10" s="283">
        <f>'C.2.2 B 09'!J10</f>
        <v>42277</v>
      </c>
      <c r="J10" s="283">
        <f>'C.2.2 B 09'!K10</f>
        <v>42308</v>
      </c>
      <c r="K10" s="283">
        <f>'C.2.2 B 09'!L10</f>
        <v>42338</v>
      </c>
      <c r="L10" s="283">
        <f>'C.2.2 B 09'!M10</f>
        <v>42369</v>
      </c>
      <c r="M10" s="283">
        <f>'C.2.2 B 09'!N10</f>
        <v>42400</v>
      </c>
      <c r="N10" s="283">
        <f>'C.2.2 B 09'!O10</f>
        <v>42429</v>
      </c>
      <c r="O10" s="283" t="str">
        <f>'C.2.2 B 09'!P10</f>
        <v>Total</v>
      </c>
      <c r="P10" s="285"/>
      <c r="Q10" s="60"/>
      <c r="R10" s="60"/>
      <c r="S10" s="60"/>
      <c r="T10" s="60"/>
      <c r="U10" s="60"/>
      <c r="V10" s="60"/>
      <c r="W10" s="60"/>
      <c r="X10" s="60"/>
    </row>
    <row r="11" spans="1:24" ht="15.75">
      <c r="A11" s="268"/>
      <c r="B11" s="375" t="s">
        <v>198</v>
      </c>
      <c r="C11" s="286"/>
      <c r="D11" s="260"/>
      <c r="E11" s="260"/>
      <c r="F11" s="260"/>
      <c r="G11" s="260"/>
      <c r="H11" s="286"/>
      <c r="I11" s="260"/>
      <c r="J11" s="260"/>
      <c r="K11" s="260"/>
      <c r="L11" s="260"/>
      <c r="M11" s="260"/>
      <c r="N11" s="260"/>
      <c r="O11" s="260"/>
    </row>
    <row r="12" spans="1:24">
      <c r="A12" s="104">
        <v>1</v>
      </c>
      <c r="B12" s="60" t="s">
        <v>294</v>
      </c>
      <c r="C12" s="1156">
        <f>[15]summary!C35</f>
        <v>30159.9</v>
      </c>
      <c r="D12" s="1156">
        <f>[15]summary!D35</f>
        <v>18101.73</v>
      </c>
      <c r="E12" s="1156">
        <f>[15]summary!E35</f>
        <v>50135.78</v>
      </c>
      <c r="F12" s="1156">
        <f>[15]summary!F35</f>
        <v>14663.859999999995</v>
      </c>
      <c r="G12" s="1156">
        <f>[15]summary!G35</f>
        <v>18263.189999999999</v>
      </c>
      <c r="H12" s="1156">
        <f>[15]summary!H35</f>
        <v>19091.560000000001</v>
      </c>
      <c r="I12" s="1156">
        <f>[15]summary!I35</f>
        <v>19008.678194129516</v>
      </c>
      <c r="J12" s="1156">
        <f>[15]summary!J35</f>
        <v>56083.21688743015</v>
      </c>
      <c r="K12" s="1156">
        <f>[15]summary!K35</f>
        <v>54996.039566527754</v>
      </c>
      <c r="L12" s="1156">
        <f>[15]summary!L35</f>
        <v>20426.389279262308</v>
      </c>
      <c r="M12" s="1156">
        <f>[15]summary!M35</f>
        <v>52700.223722204566</v>
      </c>
      <c r="N12" s="1156">
        <f>[15]summary!N35</f>
        <v>32202.152421783856</v>
      </c>
      <c r="O12" s="718">
        <f>SUM(C12:N12)</f>
        <v>385832.72007133806</v>
      </c>
      <c r="P12" s="266"/>
      <c r="Q12" s="1060"/>
      <c r="R12" s="771"/>
    </row>
    <row r="13" spans="1:24">
      <c r="A13" s="104">
        <f>A12+1</f>
        <v>2</v>
      </c>
      <c r="B13" s="60" t="s">
        <v>295</v>
      </c>
      <c r="C13" s="1156">
        <f>[15]summary!C36</f>
        <v>-234.72000000000003</v>
      </c>
      <c r="D13" s="1156">
        <f>[15]summary!D36</f>
        <v>-81.75</v>
      </c>
      <c r="E13" s="1156">
        <f>[15]summary!E36</f>
        <v>9.1900000000000031</v>
      </c>
      <c r="F13" s="1156">
        <f>[15]summary!F36</f>
        <v>11.42</v>
      </c>
      <c r="G13" s="1156">
        <f>[15]summary!G36</f>
        <v>2.0100000000000007</v>
      </c>
      <c r="H13" s="1156">
        <f>[15]summary!H36</f>
        <v>0.96000000000000041</v>
      </c>
      <c r="I13" s="1156">
        <f>[15]summary!I36</f>
        <v>-37.013688809733132</v>
      </c>
      <c r="J13" s="1156">
        <f>[15]summary!J36</f>
        <v>-109.20521227831598</v>
      </c>
      <c r="K13" s="1156">
        <f>[15]summary!K36</f>
        <v>-107.08826113495304</v>
      </c>
      <c r="L13" s="1156">
        <f>[15]summary!L36</f>
        <v>-39.77425513587675</v>
      </c>
      <c r="M13" s="1156">
        <f>[15]summary!M36</f>
        <v>-102.61784965455475</v>
      </c>
      <c r="N13" s="1156">
        <f>[15]summary!N36</f>
        <v>-62.70401532241231</v>
      </c>
      <c r="O13" s="60">
        <f t="shared" ref="O13:O22" si="0">SUM(C13:N13)</f>
        <v>-751.29328233584602</v>
      </c>
      <c r="P13" s="266"/>
    </row>
    <row r="14" spans="1:24">
      <c r="A14" s="104">
        <f t="shared" ref="A14:A67" si="1">A13+1</f>
        <v>3</v>
      </c>
      <c r="B14" s="60" t="s">
        <v>296</v>
      </c>
      <c r="C14" s="1156">
        <f>[15]summary!C37</f>
        <v>1801.41</v>
      </c>
      <c r="D14" s="1156">
        <f>[15]summary!D37</f>
        <v>-873.84999999999991</v>
      </c>
      <c r="E14" s="1156">
        <f>[15]summary!E37</f>
        <v>-11.569999999999997</v>
      </c>
      <c r="F14" s="1156">
        <f>[15]summary!F37</f>
        <v>27.549999999999997</v>
      </c>
      <c r="G14" s="1156">
        <f>[15]summary!G37</f>
        <v>9.6100000000000012</v>
      </c>
      <c r="H14" s="1156">
        <f>[15]summary!H37</f>
        <v>6.9799999999999995</v>
      </c>
      <c r="I14" s="1156">
        <f>[15]summary!I37</f>
        <v>121.33549468021808</v>
      </c>
      <c r="J14" s="1156">
        <f>[15]summary!J37</f>
        <v>357.9883248481666</v>
      </c>
      <c r="K14" s="1156">
        <f>[15]summary!K37</f>
        <v>351.0486946071988</v>
      </c>
      <c r="L14" s="1156">
        <f>[15]summary!L37</f>
        <v>130.38497587356801</v>
      </c>
      <c r="M14" s="1156">
        <f>[15]summary!M37</f>
        <v>336.39412744999021</v>
      </c>
      <c r="N14" s="1156">
        <f>[15]summary!N37</f>
        <v>205.5515935385562</v>
      </c>
      <c r="O14" s="60">
        <f t="shared" si="0"/>
        <v>2462.8332109976977</v>
      </c>
      <c r="P14" s="266"/>
    </row>
    <row r="15" spans="1:24">
      <c r="A15" s="104">
        <f t="shared" si="1"/>
        <v>4</v>
      </c>
      <c r="B15" s="1" t="s">
        <v>1244</v>
      </c>
      <c r="C15" s="1156">
        <f>[15]summary!C38</f>
        <v>0</v>
      </c>
      <c r="D15" s="1156">
        <f>[15]summary!D38</f>
        <v>82.9</v>
      </c>
      <c r="E15" s="1156">
        <f>[15]summary!E38</f>
        <v>248.57</v>
      </c>
      <c r="F15" s="1156">
        <f>[15]summary!F38</f>
        <v>75.010000000000005</v>
      </c>
      <c r="G15" s="1156">
        <f>[15]summary!G38</f>
        <v>98.7</v>
      </c>
      <c r="H15" s="1156">
        <f>[15]summary!H38</f>
        <v>-325.5</v>
      </c>
      <c r="I15" s="1156">
        <f>[15]summary!I38</f>
        <v>0</v>
      </c>
      <c r="J15" s="1156">
        <f>[15]summary!J38</f>
        <v>0</v>
      </c>
      <c r="K15" s="1156">
        <f>[15]summary!K38</f>
        <v>0</v>
      </c>
      <c r="L15" s="1156">
        <f>[15]summary!L38</f>
        <v>0</v>
      </c>
      <c r="M15" s="1156">
        <f>[15]summary!M38</f>
        <v>0</v>
      </c>
      <c r="N15" s="1156">
        <f>[15]summary!N38</f>
        <v>0</v>
      </c>
      <c r="O15" s="60">
        <f t="shared" si="0"/>
        <v>179.68</v>
      </c>
      <c r="P15" s="266"/>
    </row>
    <row r="16" spans="1:24">
      <c r="A16" s="104">
        <f t="shared" si="1"/>
        <v>5</v>
      </c>
      <c r="B16" s="60" t="s">
        <v>114</v>
      </c>
      <c r="C16" s="1156">
        <f>[15]summary!C39</f>
        <v>355588</v>
      </c>
      <c r="D16" s="1156">
        <f>[15]summary!D39</f>
        <v>355588</v>
      </c>
      <c r="E16" s="1156">
        <f>[15]summary!E39</f>
        <v>475588</v>
      </c>
      <c r="F16" s="1156">
        <f>[15]summary!F39</f>
        <v>475588</v>
      </c>
      <c r="G16" s="1156">
        <f>[15]summary!G39</f>
        <v>475588</v>
      </c>
      <c r="H16" s="1156">
        <f>[15]summary!H39</f>
        <v>475588</v>
      </c>
      <c r="I16" s="1156">
        <f>H16</f>
        <v>475588</v>
      </c>
      <c r="J16" s="1156">
        <f>'[16]FY 2016 Budget'!$I$21/12</f>
        <v>395588</v>
      </c>
      <c r="K16" s="1156">
        <f>'[16]FY 2016 Budget'!$I$21/12</f>
        <v>395588</v>
      </c>
      <c r="L16" s="1156">
        <f>'[16]FY 2016 Budget'!$I$21/12</f>
        <v>395588</v>
      </c>
      <c r="M16" s="1156">
        <f>'[16]FY 2016 Budget'!$I$21/12</f>
        <v>395588</v>
      </c>
      <c r="N16" s="1156">
        <f>'[16]FY 2016 Budget'!$I$21/12</f>
        <v>395588</v>
      </c>
      <c r="O16" s="60">
        <f t="shared" si="0"/>
        <v>5067056</v>
      </c>
      <c r="P16" s="266"/>
      <c r="R16" s="1043"/>
      <c r="S16" s="1043"/>
    </row>
    <row r="17" spans="1:18">
      <c r="A17" s="104">
        <f t="shared" si="1"/>
        <v>6</v>
      </c>
      <c r="B17" s="60" t="s">
        <v>1406</v>
      </c>
      <c r="C17" s="1156">
        <f>[15]summary!C40</f>
        <v>0</v>
      </c>
      <c r="D17" s="1156">
        <f>[15]summary!D40</f>
        <v>63869.85</v>
      </c>
      <c r="E17" s="1156">
        <f>[15]summary!E40</f>
        <v>0</v>
      </c>
      <c r="F17" s="1156">
        <f>[15]summary!F40</f>
        <v>0</v>
      </c>
      <c r="G17" s="1156">
        <f>[15]summary!G40</f>
        <v>0</v>
      </c>
      <c r="H17" s="1156">
        <f>[15]summary!H40</f>
        <v>0</v>
      </c>
      <c r="I17" s="1156">
        <f>[15]summary!I40</f>
        <v>0</v>
      </c>
      <c r="J17" s="1156">
        <f>[15]summary!J40</f>
        <v>0</v>
      </c>
      <c r="K17" s="1156">
        <f>[15]summary!K40</f>
        <v>0</v>
      </c>
      <c r="L17" s="1156">
        <f>[15]summary!L40</f>
        <v>0</v>
      </c>
      <c r="M17" s="1156">
        <f>[15]summary!M40</f>
        <v>0</v>
      </c>
      <c r="N17" s="1156">
        <f>[15]summary!N40</f>
        <v>0</v>
      </c>
      <c r="O17" s="60">
        <f t="shared" si="0"/>
        <v>63869.85</v>
      </c>
      <c r="P17" s="266"/>
    </row>
    <row r="18" spans="1:18">
      <c r="A18" s="104">
        <f t="shared" si="1"/>
        <v>7</v>
      </c>
      <c r="B18" s="60" t="s">
        <v>113</v>
      </c>
      <c r="C18" s="1156">
        <f>[15]summary!C41</f>
        <v>70.2</v>
      </c>
      <c r="D18" s="1156">
        <f>[15]summary!D41</f>
        <v>50946.46</v>
      </c>
      <c r="E18" s="1156">
        <f>[15]summary!E41</f>
        <v>35.5</v>
      </c>
      <c r="F18" s="1156">
        <f>[15]summary!F41</f>
        <v>0</v>
      </c>
      <c r="G18" s="1156">
        <f>[15]summary!G41</f>
        <v>17414.849999999999</v>
      </c>
      <c r="H18" s="1156">
        <f>[15]summary!H41</f>
        <v>192</v>
      </c>
      <c r="I18" s="1156">
        <f>[15]summary!I41</f>
        <v>76</v>
      </c>
      <c r="J18" s="1156">
        <f>[15]summary!J41</f>
        <v>14234</v>
      </c>
      <c r="K18" s="1156">
        <f>[15]summary!K41</f>
        <v>55</v>
      </c>
      <c r="L18" s="1156">
        <f>[15]summary!L41</f>
        <v>600</v>
      </c>
      <c r="M18" s="1156">
        <f>[15]summary!M41</f>
        <v>25776</v>
      </c>
      <c r="N18" s="1156">
        <f>[15]summary!N41</f>
        <v>227</v>
      </c>
      <c r="O18" s="60">
        <f t="shared" si="0"/>
        <v>109627.01</v>
      </c>
      <c r="P18" s="266"/>
    </row>
    <row r="19" spans="1:18" ht="17.25" customHeight="1">
      <c r="A19" s="104">
        <f t="shared" si="1"/>
        <v>8</v>
      </c>
      <c r="B19" s="60" t="s">
        <v>298</v>
      </c>
      <c r="C19" s="1156">
        <f>[15]summary!C42</f>
        <v>26509.54</v>
      </c>
      <c r="D19" s="1156">
        <f>[15]summary!D42</f>
        <v>26509.54</v>
      </c>
      <c r="E19" s="1156">
        <f>[15]summary!E42</f>
        <v>26509.54</v>
      </c>
      <c r="F19" s="1156">
        <f>[15]summary!F42</f>
        <v>26509.54</v>
      </c>
      <c r="G19" s="1156">
        <f>[15]summary!G42</f>
        <v>31189.31</v>
      </c>
      <c r="H19" s="1156">
        <f>[15]summary!H42</f>
        <v>31189.31</v>
      </c>
      <c r="I19" s="1156">
        <f>[15]summary!I42</f>
        <v>28037</v>
      </c>
      <c r="J19" s="1156">
        <f>[15]summary!J42</f>
        <v>31189</v>
      </c>
      <c r="K19" s="1156">
        <f>[15]summary!K42</f>
        <v>31189</v>
      </c>
      <c r="L19" s="1156">
        <f>[15]summary!L42</f>
        <v>31189</v>
      </c>
      <c r="M19" s="1156">
        <f>[15]summary!M42</f>
        <v>31189</v>
      </c>
      <c r="N19" s="1156">
        <f>[15]summary!N42</f>
        <v>31189</v>
      </c>
      <c r="O19" s="60">
        <f t="shared" si="0"/>
        <v>352398.78</v>
      </c>
      <c r="P19" s="266"/>
    </row>
    <row r="20" spans="1:18">
      <c r="A20" s="104">
        <f t="shared" si="1"/>
        <v>9</v>
      </c>
      <c r="B20" s="60" t="s">
        <v>43</v>
      </c>
      <c r="C20" s="1156">
        <f>[15]summary!C43</f>
        <v>15633.9</v>
      </c>
      <c r="D20" s="1156">
        <f>[15]summary!D43</f>
        <v>14237.6</v>
      </c>
      <c r="E20" s="1156">
        <f>[15]summary!E43</f>
        <v>16828.98</v>
      </c>
      <c r="F20" s="1156">
        <f>[15]summary!F43</f>
        <v>13664.88</v>
      </c>
      <c r="G20" s="1156">
        <f>[15]summary!G43</f>
        <v>13940.71</v>
      </c>
      <c r="H20" s="1156">
        <f>[15]summary!H43</f>
        <v>12724.86</v>
      </c>
      <c r="I20" s="1156">
        <f>[15]summary!I43</f>
        <v>12327.229549399461</v>
      </c>
      <c r="J20" s="581">
        <f>J52</f>
        <v>13456.108062539495</v>
      </c>
      <c r="K20" s="581">
        <f t="shared" ref="K20:N20" si="2">K52</f>
        <v>13456.108062539495</v>
      </c>
      <c r="L20" s="581">
        <f t="shared" si="2"/>
        <v>13456.108062539495</v>
      </c>
      <c r="M20" s="581">
        <f t="shared" si="2"/>
        <v>13456.108062539495</v>
      </c>
      <c r="N20" s="581">
        <f t="shared" si="2"/>
        <v>13456.108062539495</v>
      </c>
      <c r="O20" s="60">
        <f t="shared" si="0"/>
        <v>166638.6998620969</v>
      </c>
      <c r="P20" s="771"/>
      <c r="Q20" s="771"/>
      <c r="R20" s="797"/>
    </row>
    <row r="21" spans="1:18" ht="15.75">
      <c r="A21" s="104">
        <f t="shared" si="1"/>
        <v>10</v>
      </c>
      <c r="B21" s="60" t="s">
        <v>1020</v>
      </c>
      <c r="C21" s="1156">
        <f>[15]summary!C44</f>
        <v>15496.55</v>
      </c>
      <c r="D21" s="1156">
        <f>[15]summary!D44</f>
        <v>14055.77</v>
      </c>
      <c r="E21" s="1156">
        <f>[15]summary!E44</f>
        <v>18877.48</v>
      </c>
      <c r="F21" s="1156">
        <f>[15]summary!F44</f>
        <v>15967.61</v>
      </c>
      <c r="G21" s="1156">
        <f>[15]summary!G44</f>
        <v>17564.29</v>
      </c>
      <c r="H21" s="1156">
        <f>[15]summary!H44</f>
        <v>14940.69</v>
      </c>
      <c r="I21" s="1156">
        <f>[15]summary!I44</f>
        <v>13725.44226995427</v>
      </c>
      <c r="J21" s="581">
        <f>J39</f>
        <v>13928.293020179539</v>
      </c>
      <c r="K21" s="581">
        <f t="shared" ref="K21:N21" si="3">K39</f>
        <v>13928.293020179539</v>
      </c>
      <c r="L21" s="581">
        <f t="shared" si="3"/>
        <v>13928.293020179539</v>
      </c>
      <c r="M21" s="581">
        <f t="shared" si="3"/>
        <v>13928.293020179539</v>
      </c>
      <c r="N21" s="581">
        <f t="shared" si="3"/>
        <v>13928.293020179539</v>
      </c>
      <c r="O21" s="60">
        <f t="shared" si="0"/>
        <v>180269.29737085203</v>
      </c>
      <c r="P21" s="771"/>
      <c r="Q21" s="771"/>
      <c r="R21" s="772"/>
    </row>
    <row r="22" spans="1:18">
      <c r="A22" s="104">
        <f t="shared" si="1"/>
        <v>11</v>
      </c>
      <c r="B22" s="60" t="s">
        <v>1245</v>
      </c>
      <c r="C22" s="1156">
        <f>[15]summary!C45</f>
        <v>10438.870000000001</v>
      </c>
      <c r="D22" s="1156">
        <f>[15]summary!D45</f>
        <v>8686.01</v>
      </c>
      <c r="E22" s="1156">
        <f>[15]summary!E45</f>
        <v>15608.87</v>
      </c>
      <c r="F22" s="1156">
        <f>[15]summary!F45</f>
        <v>8141.77</v>
      </c>
      <c r="G22" s="1156">
        <f>[15]summary!G45</f>
        <v>9004.4500000000007</v>
      </c>
      <c r="H22" s="1156">
        <f>[15]summary!H45</f>
        <v>9278.74</v>
      </c>
      <c r="I22" s="1156">
        <f>[15]summary!I45</f>
        <v>8662.638180646265</v>
      </c>
      <c r="J22" s="581">
        <f>J67</f>
        <v>8027.9597799140956</v>
      </c>
      <c r="K22" s="581">
        <f t="shared" ref="K22:N22" si="4">K67</f>
        <v>8027.9597799140956</v>
      </c>
      <c r="L22" s="581">
        <f t="shared" si="4"/>
        <v>8027.9597799140956</v>
      </c>
      <c r="M22" s="581">
        <f t="shared" si="4"/>
        <v>8027.9597799140956</v>
      </c>
      <c r="N22" s="581">
        <f t="shared" si="4"/>
        <v>8027.9597799140956</v>
      </c>
      <c r="O22" s="60">
        <f t="shared" si="0"/>
        <v>109961.14708021672</v>
      </c>
      <c r="P22" s="771"/>
      <c r="Q22" s="771"/>
      <c r="R22" s="797"/>
    </row>
    <row r="23" spans="1:18">
      <c r="A23" s="104">
        <f t="shared" si="1"/>
        <v>12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</row>
    <row r="24" spans="1:18">
      <c r="A24" s="104">
        <f t="shared" si="1"/>
        <v>13</v>
      </c>
      <c r="B24" s="60" t="s">
        <v>101</v>
      </c>
      <c r="C24" s="720">
        <f t="shared" ref="C24:H24" si="5">SUM(C12:C22)</f>
        <v>455463.65</v>
      </c>
      <c r="D24" s="720">
        <f t="shared" si="5"/>
        <v>551122.26</v>
      </c>
      <c r="E24" s="720">
        <f t="shared" si="5"/>
        <v>603830.34</v>
      </c>
      <c r="F24" s="720">
        <f t="shared" si="5"/>
        <v>554649.6399999999</v>
      </c>
      <c r="G24" s="720">
        <f t="shared" si="5"/>
        <v>583075.12</v>
      </c>
      <c r="H24" s="720">
        <f t="shared" si="5"/>
        <v>562687.6</v>
      </c>
      <c r="I24" s="720">
        <f t="shared" ref="I24:N24" si="6">SUM(I12:I23)</f>
        <v>557509.30999999994</v>
      </c>
      <c r="J24" s="720">
        <f t="shared" si="6"/>
        <v>532755.3608626331</v>
      </c>
      <c r="K24" s="720">
        <f t="shared" si="6"/>
        <v>517484.36086263316</v>
      </c>
      <c r="L24" s="720">
        <f t="shared" si="6"/>
        <v>483306.36086263316</v>
      </c>
      <c r="M24" s="720">
        <f t="shared" si="6"/>
        <v>540899.3608626331</v>
      </c>
      <c r="N24" s="720">
        <f t="shared" si="6"/>
        <v>494761.36086263316</v>
      </c>
      <c r="O24" s="719">
        <f>SUM(C24:N24)</f>
        <v>6437544.724313166</v>
      </c>
      <c r="P24" s="771"/>
    </row>
    <row r="25" spans="1:18">
      <c r="A25" s="104">
        <f t="shared" si="1"/>
        <v>14</v>
      </c>
      <c r="C25" s="1008"/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263"/>
    </row>
    <row r="26" spans="1:18" ht="15.75">
      <c r="A26" s="104">
        <f t="shared" si="1"/>
        <v>15</v>
      </c>
      <c r="B26" s="375" t="s">
        <v>81</v>
      </c>
      <c r="C26" s="1008"/>
      <c r="D26" s="1008"/>
      <c r="E26" s="1008"/>
      <c r="F26" s="1008"/>
      <c r="G26" s="1008"/>
      <c r="H26" s="1008"/>
      <c r="I26" s="1008"/>
      <c r="J26" s="1008"/>
      <c r="K26" s="1008"/>
      <c r="L26" s="1008"/>
      <c r="M26" s="1008"/>
      <c r="N26" s="1008"/>
      <c r="P26" s="797"/>
    </row>
    <row r="27" spans="1:18">
      <c r="A27" s="104">
        <f t="shared" si="1"/>
        <v>16</v>
      </c>
      <c r="B27" s="60" t="s">
        <v>294</v>
      </c>
      <c r="C27" s="1156">
        <f>[15]summary!C5</f>
        <v>246064.07999999993</v>
      </c>
      <c r="D27" s="1156">
        <f>[15]summary!D5</f>
        <v>223116.25000000006</v>
      </c>
      <c r="E27" s="1156">
        <f>[15]summary!E5</f>
        <v>272951.9600000002</v>
      </c>
      <c r="F27" s="1156">
        <f>[15]summary!F5</f>
        <v>217850.18000000005</v>
      </c>
      <c r="G27" s="1156">
        <f>[15]summary!G5</f>
        <v>223830.8300000001</v>
      </c>
      <c r="H27" s="1156">
        <f>[15]summary!H5</f>
        <v>198393.37</v>
      </c>
      <c r="I27" s="1156">
        <f>[15]summary!I5</f>
        <v>175303.43618294419</v>
      </c>
      <c r="J27" s="1156">
        <f>[15]summary!J5</f>
        <v>193084.9756696331</v>
      </c>
      <c r="K27" s="1156">
        <f>[15]summary!K5</f>
        <v>193084.9756696331</v>
      </c>
      <c r="L27" s="1156">
        <f>[15]summary!L5</f>
        <v>193084.9756696331</v>
      </c>
      <c r="M27" s="1156">
        <f>[15]summary!M5</f>
        <v>193084.9756696331</v>
      </c>
      <c r="N27" s="1156">
        <f>[15]summary!N5</f>
        <v>193084.9756696331</v>
      </c>
      <c r="O27" s="718">
        <f t="shared" ref="O27:O34" si="7">SUM(C27:N27)</f>
        <v>2522934.9845311102</v>
      </c>
      <c r="Q27" s="1060"/>
    </row>
    <row r="28" spans="1:18">
      <c r="A28" s="104">
        <f t="shared" si="1"/>
        <v>17</v>
      </c>
      <c r="B28" s="60" t="s">
        <v>295</v>
      </c>
      <c r="C28" s="1156">
        <f>[15]summary!C6</f>
        <v>293.57999999999947</v>
      </c>
      <c r="D28" s="1156">
        <f>[15]summary!D6</f>
        <v>-298.44000000000005</v>
      </c>
      <c r="E28" s="1156">
        <f>[15]summary!E6</f>
        <v>399.57999999999993</v>
      </c>
      <c r="F28" s="1156">
        <f>[15]summary!F6</f>
        <v>170.03</v>
      </c>
      <c r="G28" s="1156">
        <f>[15]summary!G6</f>
        <v>176.73</v>
      </c>
      <c r="H28" s="1156">
        <f>[15]summary!H6</f>
        <v>156.05999999999995</v>
      </c>
      <c r="I28" s="1156">
        <f>[15]summary!I6</f>
        <v>113.8338061352573</v>
      </c>
      <c r="J28" s="1156">
        <f>[15]summary!J6</f>
        <v>125.38030153082846</v>
      </c>
      <c r="K28" s="1156">
        <f>[15]summary!K6</f>
        <v>125.38030153082846</v>
      </c>
      <c r="L28" s="1156">
        <f>[15]summary!L6</f>
        <v>125.38030153082846</v>
      </c>
      <c r="M28" s="1156">
        <f>[15]summary!M6</f>
        <v>125.38030153082846</v>
      </c>
      <c r="N28" s="1156">
        <f>[15]summary!N6</f>
        <v>125.38030153082846</v>
      </c>
      <c r="O28" s="60">
        <f t="shared" si="7"/>
        <v>1638.2753137893992</v>
      </c>
    </row>
    <row r="29" spans="1:18">
      <c r="A29" s="104">
        <f t="shared" si="1"/>
        <v>18</v>
      </c>
      <c r="B29" s="60" t="s">
        <v>296</v>
      </c>
      <c r="C29" s="1156">
        <f>[15]summary!C7</f>
        <v>3331.3900000000021</v>
      </c>
      <c r="D29" s="1156">
        <f>[15]summary!D7</f>
        <v>-586.07999999999993</v>
      </c>
      <c r="E29" s="1156">
        <f>[15]summary!E7</f>
        <v>630.81999999999994</v>
      </c>
      <c r="F29" s="1156">
        <f>[15]summary!F7</f>
        <v>628.08999999999992</v>
      </c>
      <c r="G29" s="1156">
        <f>[15]summary!G7</f>
        <v>491.69</v>
      </c>
      <c r="H29" s="1156">
        <f>[15]summary!H7</f>
        <v>569.2600000000001</v>
      </c>
      <c r="I29" s="1156">
        <f>[15]summary!I7</f>
        <v>642.40878381144216</v>
      </c>
      <c r="J29" s="1156">
        <f>[15]summary!J7</f>
        <v>707.57018283854427</v>
      </c>
      <c r="K29" s="1156">
        <f>[15]summary!K7</f>
        <v>707.57018283854427</v>
      </c>
      <c r="L29" s="1156">
        <f>[15]summary!L7</f>
        <v>707.57018283854427</v>
      </c>
      <c r="M29" s="1156">
        <f>[15]summary!M7</f>
        <v>707.57018283854427</v>
      </c>
      <c r="N29" s="1156">
        <f>[15]summary!N7</f>
        <v>707.57018283854427</v>
      </c>
      <c r="O29" s="60">
        <f t="shared" si="7"/>
        <v>9245.4296980041654</v>
      </c>
    </row>
    <row r="30" spans="1:18">
      <c r="A30" s="104">
        <f t="shared" si="1"/>
        <v>19</v>
      </c>
      <c r="B30" s="60" t="s">
        <v>297</v>
      </c>
      <c r="C30" s="1156">
        <f>[15]summary!C8</f>
        <v>45000</v>
      </c>
      <c r="D30" s="1156">
        <f>[15]summary!D8</f>
        <v>45000</v>
      </c>
      <c r="E30" s="1156">
        <f>[15]summary!E8</f>
        <v>85000</v>
      </c>
      <c r="F30" s="1156">
        <f>[15]summary!F8</f>
        <v>85000</v>
      </c>
      <c r="G30" s="1156">
        <f>[15]summary!G8</f>
        <v>85000</v>
      </c>
      <c r="H30" s="1156">
        <f>[15]summary!H8</f>
        <v>85000</v>
      </c>
      <c r="I30" s="1156">
        <f>[15]summary!I8</f>
        <v>85000</v>
      </c>
      <c r="J30" s="1156">
        <f>'[16]FY 2016 Budget'!$I$5/12</f>
        <v>71000</v>
      </c>
      <c r="K30" s="1156">
        <f>'[16]FY 2016 Budget'!$I$5/12</f>
        <v>71000</v>
      </c>
      <c r="L30" s="1156">
        <f>'[16]FY 2016 Budget'!$I$5/12</f>
        <v>71000</v>
      </c>
      <c r="M30" s="1156">
        <f>'[16]FY 2016 Budget'!$I$5/12</f>
        <v>71000</v>
      </c>
      <c r="N30" s="1156">
        <f>'[16]FY 2016 Budget'!$I$5/12</f>
        <v>71000</v>
      </c>
      <c r="O30" s="60">
        <f t="shared" si="7"/>
        <v>870000</v>
      </c>
      <c r="P30" s="771"/>
    </row>
    <row r="31" spans="1:18">
      <c r="A31" s="104">
        <f t="shared" si="1"/>
        <v>20</v>
      </c>
      <c r="B31" s="60" t="s">
        <v>210</v>
      </c>
      <c r="C31" s="1156">
        <f>[15]summary!C10</f>
        <v>0</v>
      </c>
      <c r="D31" s="1156">
        <f>[15]summary!D10</f>
        <v>0</v>
      </c>
      <c r="E31" s="1156">
        <f>[15]summary!E10</f>
        <v>0</v>
      </c>
      <c r="F31" s="1156">
        <f>[15]summary!F10</f>
        <v>0</v>
      </c>
      <c r="G31" s="1156">
        <f>[15]summary!G10</f>
        <v>44.640000000000008</v>
      </c>
      <c r="H31" s="1156">
        <f>[15]summary!H10</f>
        <v>0</v>
      </c>
      <c r="I31" s="1156">
        <f>[15]summary!I10</f>
        <v>0</v>
      </c>
      <c r="J31" s="1156">
        <f>[15]summary!J10</f>
        <v>0</v>
      </c>
      <c r="K31" s="1156">
        <f>[15]summary!K10</f>
        <v>0</v>
      </c>
      <c r="L31" s="1156">
        <f>[15]summary!L10</f>
        <v>0</v>
      </c>
      <c r="M31" s="1156">
        <f>[15]summary!M10</f>
        <v>0</v>
      </c>
      <c r="N31" s="1156">
        <f>[15]summary!N10</f>
        <v>0</v>
      </c>
      <c r="O31" s="60">
        <f t="shared" si="7"/>
        <v>44.640000000000008</v>
      </c>
    </row>
    <row r="32" spans="1:18">
      <c r="A32" s="104">
        <f t="shared" si="1"/>
        <v>21</v>
      </c>
      <c r="B32" s="60" t="s">
        <v>211</v>
      </c>
      <c r="C32" s="1156">
        <f>[15]summary!C9</f>
        <v>0</v>
      </c>
      <c r="D32" s="1156">
        <f>[15]summary!D9</f>
        <v>58.94</v>
      </c>
      <c r="E32" s="1156">
        <f>[15]summary!E9</f>
        <v>0</v>
      </c>
      <c r="F32" s="1156">
        <f>[15]summary!F9</f>
        <v>-1.38</v>
      </c>
      <c r="G32" s="1156">
        <f>[15]summary!G9</f>
        <v>24466.23</v>
      </c>
      <c r="H32" s="1156">
        <f>[15]summary!H9</f>
        <v>0</v>
      </c>
      <c r="I32" s="1156">
        <f>[15]summary!I9</f>
        <v>0</v>
      </c>
      <c r="J32" s="1156">
        <f>[15]summary!J9</f>
        <v>0</v>
      </c>
      <c r="K32" s="1156">
        <f>[15]summary!K9</f>
        <v>0</v>
      </c>
      <c r="L32" s="1156">
        <f>[15]summary!L9</f>
        <v>0</v>
      </c>
      <c r="M32" s="1156">
        <f>[15]summary!M9</f>
        <v>0</v>
      </c>
      <c r="N32" s="1156">
        <f>[15]summary!N9</f>
        <v>0</v>
      </c>
      <c r="O32" s="60">
        <f t="shared" si="7"/>
        <v>24523.79</v>
      </c>
      <c r="Q32" s="119"/>
      <c r="R32" s="797"/>
    </row>
    <row r="33" spans="1:17">
      <c r="A33" s="104">
        <f t="shared" si="1"/>
        <v>22</v>
      </c>
      <c r="B33"/>
      <c r="C33" s="827"/>
      <c r="D33" s="827"/>
      <c r="E33" s="827"/>
      <c r="F33" s="684"/>
      <c r="G33" s="684"/>
      <c r="H33" s="684"/>
      <c r="I33" s="684"/>
      <c r="J33" s="684"/>
      <c r="K33" s="684"/>
      <c r="L33" s="684"/>
      <c r="M33" s="684"/>
      <c r="N33" s="684"/>
    </row>
    <row r="34" spans="1:17">
      <c r="A34" s="104">
        <f t="shared" si="1"/>
        <v>23</v>
      </c>
      <c r="B34" s="60" t="s">
        <v>212</v>
      </c>
      <c r="C34" s="720">
        <f t="shared" ref="C34:N34" si="8">SUM(C27:C32)</f>
        <v>294689.04999999993</v>
      </c>
      <c r="D34" s="720">
        <f t="shared" si="8"/>
        <v>267290.6700000001</v>
      </c>
      <c r="E34" s="720">
        <f t="shared" si="8"/>
        <v>358982.36000000022</v>
      </c>
      <c r="F34" s="720">
        <f t="shared" si="8"/>
        <v>303646.92000000004</v>
      </c>
      <c r="G34" s="720">
        <f t="shared" si="8"/>
        <v>334010.12000000011</v>
      </c>
      <c r="H34" s="720">
        <f t="shared" si="8"/>
        <v>284118.69</v>
      </c>
      <c r="I34" s="720">
        <f t="shared" si="8"/>
        <v>261059.67877289088</v>
      </c>
      <c r="J34" s="720">
        <f t="shared" si="8"/>
        <v>264917.92615400243</v>
      </c>
      <c r="K34" s="720">
        <f t="shared" si="8"/>
        <v>264917.92615400243</v>
      </c>
      <c r="L34" s="720">
        <f t="shared" si="8"/>
        <v>264917.92615400243</v>
      </c>
      <c r="M34" s="720">
        <f t="shared" si="8"/>
        <v>264917.92615400243</v>
      </c>
      <c r="N34" s="720">
        <f t="shared" si="8"/>
        <v>264917.92615400243</v>
      </c>
      <c r="O34" s="719">
        <f t="shared" si="7"/>
        <v>3428387.1195429037</v>
      </c>
    </row>
    <row r="35" spans="1:17">
      <c r="A35" s="104">
        <f t="shared" si="1"/>
        <v>24</v>
      </c>
      <c r="C35" s="1008"/>
      <c r="D35" s="1008"/>
      <c r="E35" s="1008"/>
      <c r="F35" s="1008"/>
      <c r="G35" s="1008"/>
      <c r="H35" s="1008"/>
      <c r="I35" s="1008"/>
      <c r="J35" s="1008"/>
      <c r="K35" s="1008"/>
      <c r="L35" s="1008"/>
      <c r="M35" s="1008"/>
      <c r="N35" s="1008"/>
    </row>
    <row r="36" spans="1:17">
      <c r="A36" s="104">
        <f t="shared" si="1"/>
        <v>25</v>
      </c>
      <c r="B36" s="60" t="s">
        <v>213</v>
      </c>
      <c r="C36" s="411"/>
      <c r="D36" s="411"/>
      <c r="E36" s="411"/>
      <c r="F36" s="411"/>
      <c r="G36" s="411"/>
      <c r="H36" s="411"/>
      <c r="I36" s="411"/>
      <c r="J36" s="411">
        <f>Allocation!$G$14</f>
        <v>0.1071</v>
      </c>
      <c r="K36" s="411">
        <f>J36</f>
        <v>0.1071</v>
      </c>
      <c r="L36" s="411">
        <f t="shared" ref="L36:N36" si="9">K36</f>
        <v>0.1071</v>
      </c>
      <c r="M36" s="411">
        <f t="shared" si="9"/>
        <v>0.1071</v>
      </c>
      <c r="N36" s="411">
        <f t="shared" si="9"/>
        <v>0.1071</v>
      </c>
    </row>
    <row r="37" spans="1:17">
      <c r="A37" s="104">
        <f t="shared" si="1"/>
        <v>26</v>
      </c>
      <c r="B37" s="60" t="s">
        <v>214</v>
      </c>
      <c r="C37" s="759"/>
      <c r="D37" s="759"/>
      <c r="E37" s="759"/>
      <c r="F37" s="759"/>
      <c r="G37" s="759"/>
      <c r="H37" s="759"/>
      <c r="I37" s="759"/>
      <c r="J37" s="759">
        <f>Allocation!$H$14</f>
        <v>0.49090457251500325</v>
      </c>
      <c r="K37" s="411">
        <f>J37</f>
        <v>0.49090457251500325</v>
      </c>
      <c r="L37" s="411">
        <f t="shared" ref="L37:N37" si="10">K37</f>
        <v>0.49090457251500325</v>
      </c>
      <c r="M37" s="411">
        <f t="shared" si="10"/>
        <v>0.49090457251500325</v>
      </c>
      <c r="N37" s="411">
        <f t="shared" si="10"/>
        <v>0.49090457251500325</v>
      </c>
    </row>
    <row r="38" spans="1:17">
      <c r="A38" s="104">
        <f t="shared" si="1"/>
        <v>27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</row>
    <row r="39" spans="1:17">
      <c r="A39" s="104">
        <f t="shared" si="1"/>
        <v>28</v>
      </c>
      <c r="B39" s="60" t="s">
        <v>215</v>
      </c>
      <c r="C39" s="720">
        <f t="shared" ref="C39:I39" si="11">C21</f>
        <v>15496.55</v>
      </c>
      <c r="D39" s="720">
        <f t="shared" si="11"/>
        <v>14055.77</v>
      </c>
      <c r="E39" s="720">
        <f t="shared" si="11"/>
        <v>18877.48</v>
      </c>
      <c r="F39" s="720">
        <f t="shared" si="11"/>
        <v>15967.61</v>
      </c>
      <c r="G39" s="720">
        <f t="shared" si="11"/>
        <v>17564.29</v>
      </c>
      <c r="H39" s="720">
        <f t="shared" si="11"/>
        <v>14940.69</v>
      </c>
      <c r="I39" s="720">
        <f t="shared" si="11"/>
        <v>13725.44226995427</v>
      </c>
      <c r="J39" s="720">
        <f>(J34)*J36*J37</f>
        <v>13928.293020179539</v>
      </c>
      <c r="K39" s="720">
        <f t="shared" ref="K39:N39" si="12">(K34)*K36*K37</f>
        <v>13928.293020179539</v>
      </c>
      <c r="L39" s="720">
        <f t="shared" si="12"/>
        <v>13928.293020179539</v>
      </c>
      <c r="M39" s="720">
        <f t="shared" si="12"/>
        <v>13928.293020179539</v>
      </c>
      <c r="N39" s="720">
        <f t="shared" si="12"/>
        <v>13928.293020179539</v>
      </c>
      <c r="O39" s="719">
        <f>SUM(C39:N39)</f>
        <v>180269.29737085203</v>
      </c>
    </row>
    <row r="40" spans="1:17">
      <c r="A40" s="104">
        <f t="shared" si="1"/>
        <v>29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</row>
    <row r="41" spans="1:17" ht="15.75">
      <c r="A41" s="104">
        <f t="shared" si="1"/>
        <v>30</v>
      </c>
      <c r="B41" s="375" t="s">
        <v>82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</row>
    <row r="42" spans="1:17">
      <c r="A42" s="104">
        <f t="shared" si="1"/>
        <v>31</v>
      </c>
      <c r="B42" s="60" t="s">
        <v>294</v>
      </c>
      <c r="C42" s="1156">
        <f>[15]summary!C15</f>
        <v>220184.16999999998</v>
      </c>
      <c r="D42" s="1156">
        <f>[15]summary!D15</f>
        <v>199801.41</v>
      </c>
      <c r="E42" s="1156">
        <f>[15]summary!E15</f>
        <v>243419.56000000003</v>
      </c>
      <c r="F42" s="1156">
        <f>[15]summary!F15</f>
        <v>188310.48</v>
      </c>
      <c r="G42" s="1156">
        <f>[15]summary!G15</f>
        <v>193205.41999999998</v>
      </c>
      <c r="H42" s="1156">
        <f>[15]summary!H15</f>
        <v>171926.27</v>
      </c>
      <c r="I42" s="1156">
        <f>[15]summary!I15</f>
        <v>165088.71111387134</v>
      </c>
      <c r="J42" s="1156">
        <f>[15]summary!J15</f>
        <v>179787.49262949187</v>
      </c>
      <c r="K42" s="1156">
        <f>[15]summary!K15</f>
        <v>179787.49262949187</v>
      </c>
      <c r="L42" s="1156">
        <f>[15]summary!L15</f>
        <v>179787.49262949187</v>
      </c>
      <c r="M42" s="1156">
        <f>[15]summary!M15</f>
        <v>179787.49262949187</v>
      </c>
      <c r="N42" s="1156">
        <f>[15]summary!N15</f>
        <v>179787.49262949187</v>
      </c>
      <c r="O42" s="718">
        <f t="shared" ref="O42:O47" si="13">SUM(C42:N42)</f>
        <v>2280873.4842613307</v>
      </c>
      <c r="P42" s="771"/>
    </row>
    <row r="43" spans="1:17">
      <c r="A43" s="104">
        <f t="shared" si="1"/>
        <v>32</v>
      </c>
      <c r="B43" s="60" t="s">
        <v>295</v>
      </c>
      <c r="C43" s="1156">
        <f>[15]summary!C16</f>
        <v>264.57000000000016</v>
      </c>
      <c r="D43" s="1156">
        <f>[15]summary!D16</f>
        <v>-266.5100000000001</v>
      </c>
      <c r="E43" s="1156">
        <f>[15]summary!E16</f>
        <v>355.96</v>
      </c>
      <c r="F43" s="1156">
        <f>[15]summary!F16</f>
        <v>145.5</v>
      </c>
      <c r="G43" s="1156">
        <f>[15]summary!G16</f>
        <v>152.31</v>
      </c>
      <c r="H43" s="1156">
        <f>[15]summary!H16</f>
        <v>135.41999999999999</v>
      </c>
      <c r="I43" s="1156">
        <f>[15]summary!I16</f>
        <v>106.80558419806606</v>
      </c>
      <c r="J43" s="1156">
        <f>[15]summary!J16</f>
        <v>116.31508933735282</v>
      </c>
      <c r="K43" s="1156">
        <f>[15]summary!K16</f>
        <v>116.31508933735282</v>
      </c>
      <c r="L43" s="1156">
        <f>[15]summary!L16</f>
        <v>116.31508933735282</v>
      </c>
      <c r="M43" s="1156">
        <f>[15]summary!M16</f>
        <v>116.31508933735282</v>
      </c>
      <c r="N43" s="1156">
        <f>[15]summary!N16</f>
        <v>116.31508933735282</v>
      </c>
      <c r="O43" s="60">
        <f t="shared" si="13"/>
        <v>1475.6310308848304</v>
      </c>
    </row>
    <row r="44" spans="1:17">
      <c r="A44" s="104">
        <f t="shared" si="1"/>
        <v>33</v>
      </c>
      <c r="B44" s="60" t="s">
        <v>296</v>
      </c>
      <c r="C44" s="1156">
        <f>[15]summary!C17</f>
        <v>2984.8899999999994</v>
      </c>
      <c r="D44" s="1156">
        <f>[15]summary!D17</f>
        <v>-522.12000000000035</v>
      </c>
      <c r="E44" s="1156">
        <f>[15]summary!E17</f>
        <v>559.8900000000001</v>
      </c>
      <c r="F44" s="1156">
        <f>[15]summary!F17</f>
        <v>539.84</v>
      </c>
      <c r="G44" s="1156">
        <f>[15]summary!G17</f>
        <v>423.86</v>
      </c>
      <c r="H44" s="1156">
        <f>[15]summary!H17</f>
        <v>493.40000000000003</v>
      </c>
      <c r="I44" s="1156">
        <f>[15]summary!I17</f>
        <v>607.76549236853396</v>
      </c>
      <c r="J44" s="1156">
        <f>[15]summary!J17</f>
        <v>661.87829102559488</v>
      </c>
      <c r="K44" s="1156">
        <f>[15]summary!K17</f>
        <v>661.87829102559488</v>
      </c>
      <c r="L44" s="1156">
        <f>[15]summary!L17</f>
        <v>661.87829102559488</v>
      </c>
      <c r="M44" s="1156">
        <f>[15]summary!M17</f>
        <v>661.87829102559488</v>
      </c>
      <c r="N44" s="1156">
        <f>[15]summary!N17</f>
        <v>661.87829102559488</v>
      </c>
      <c r="O44" s="60">
        <f t="shared" si="13"/>
        <v>8396.9169474965074</v>
      </c>
    </row>
    <row r="45" spans="1:17">
      <c r="A45" s="104">
        <f t="shared" si="1"/>
        <v>34</v>
      </c>
      <c r="B45" s="60" t="s">
        <v>297</v>
      </c>
      <c r="C45" s="1156">
        <f>[15]summary!C18</f>
        <v>50000</v>
      </c>
      <c r="D45" s="1156">
        <f>[15]summary!D18</f>
        <v>50000</v>
      </c>
      <c r="E45" s="1156">
        <f>[15]summary!E18</f>
        <v>50000</v>
      </c>
      <c r="F45" s="1156">
        <f>[15]summary!F18</f>
        <v>50000</v>
      </c>
      <c r="G45" s="1156">
        <f>[15]summary!G18</f>
        <v>50000</v>
      </c>
      <c r="H45" s="1156">
        <f>[15]summary!H18</f>
        <v>50000</v>
      </c>
      <c r="I45" s="1156">
        <f>[15]summary!I18</f>
        <v>50000</v>
      </c>
      <c r="J45" s="1156">
        <f>'[16]FY 2016 Budget'!$I$6/12</f>
        <v>55000</v>
      </c>
      <c r="K45" s="1156">
        <f>'[16]FY 2016 Budget'!$I$6/12</f>
        <v>55000</v>
      </c>
      <c r="L45" s="1156">
        <f>'[16]FY 2016 Budget'!$I$6/12</f>
        <v>55000</v>
      </c>
      <c r="M45" s="1156">
        <f>'[16]FY 2016 Budget'!$I$6/12</f>
        <v>55000</v>
      </c>
      <c r="N45" s="1156">
        <f>'[16]FY 2016 Budget'!$I$6/12</f>
        <v>55000</v>
      </c>
      <c r="O45" s="60">
        <f t="shared" si="13"/>
        <v>625000</v>
      </c>
      <c r="P45" s="771"/>
    </row>
    <row r="46" spans="1:17">
      <c r="A46" s="104">
        <f t="shared" si="1"/>
        <v>35</v>
      </c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</row>
    <row r="47" spans="1:17">
      <c r="A47" s="104">
        <f t="shared" si="1"/>
        <v>36</v>
      </c>
      <c r="B47" s="60" t="s">
        <v>212</v>
      </c>
      <c r="C47" s="720">
        <f t="shared" ref="C47:N47" si="14">SUM(C42:C45)</f>
        <v>273433.63</v>
      </c>
      <c r="D47" s="720">
        <f t="shared" si="14"/>
        <v>249012.78</v>
      </c>
      <c r="E47" s="720">
        <f t="shared" si="14"/>
        <v>294335.41000000003</v>
      </c>
      <c r="F47" s="720">
        <f t="shared" si="14"/>
        <v>238995.82</v>
      </c>
      <c r="G47" s="720">
        <f t="shared" si="14"/>
        <v>243781.58999999997</v>
      </c>
      <c r="H47" s="720">
        <f t="shared" si="14"/>
        <v>222555.09</v>
      </c>
      <c r="I47" s="720">
        <f t="shared" si="14"/>
        <v>215803.28219043795</v>
      </c>
      <c r="J47" s="720">
        <f>SUM(J42:J45)</f>
        <v>235565.68600985481</v>
      </c>
      <c r="K47" s="720">
        <f t="shared" si="14"/>
        <v>235565.68600985481</v>
      </c>
      <c r="L47" s="720">
        <f t="shared" si="14"/>
        <v>235565.68600985481</v>
      </c>
      <c r="M47" s="720">
        <f t="shared" si="14"/>
        <v>235565.68600985481</v>
      </c>
      <c r="N47" s="720">
        <f t="shared" si="14"/>
        <v>235565.68600985481</v>
      </c>
      <c r="O47" s="719">
        <f t="shared" si="13"/>
        <v>2915746.0322397128</v>
      </c>
      <c r="Q47" s="119"/>
    </row>
    <row r="48" spans="1:17">
      <c r="A48" s="104">
        <f t="shared" si="1"/>
        <v>37</v>
      </c>
      <c r="C48" s="1008"/>
      <c r="D48" s="1008"/>
      <c r="E48" s="1008"/>
      <c r="F48" s="1008"/>
      <c r="G48" s="1008"/>
      <c r="H48" s="1008"/>
      <c r="I48" s="1008"/>
      <c r="J48" s="1008"/>
      <c r="K48" s="1008"/>
      <c r="L48" s="1008"/>
      <c r="M48" s="1008"/>
      <c r="N48" s="1008"/>
    </row>
    <row r="49" spans="1:17">
      <c r="A49" s="104">
        <f t="shared" si="1"/>
        <v>38</v>
      </c>
      <c r="B49" s="60" t="s">
        <v>213</v>
      </c>
      <c r="C49" s="759"/>
      <c r="D49" s="759"/>
      <c r="E49" s="759"/>
      <c r="F49" s="759"/>
      <c r="G49" s="759"/>
      <c r="H49" s="759"/>
      <c r="I49" s="759"/>
      <c r="J49" s="759">
        <f>Allocation!$C$15</f>
        <v>0.1086</v>
      </c>
      <c r="K49" s="759">
        <f>J49</f>
        <v>0.1086</v>
      </c>
      <c r="L49" s="759">
        <f t="shared" ref="L49:N49" si="15">K49</f>
        <v>0.1086</v>
      </c>
      <c r="M49" s="759">
        <f t="shared" si="15"/>
        <v>0.1086</v>
      </c>
      <c r="N49" s="759">
        <f t="shared" si="15"/>
        <v>0.1086</v>
      </c>
    </row>
    <row r="50" spans="1:17">
      <c r="A50" s="104">
        <f t="shared" si="1"/>
        <v>39</v>
      </c>
      <c r="B50" s="60" t="s">
        <v>214</v>
      </c>
      <c r="C50" s="759"/>
      <c r="D50" s="1105"/>
      <c r="E50" s="759"/>
      <c r="F50" s="759"/>
      <c r="G50" s="759"/>
      <c r="H50" s="759"/>
      <c r="I50" s="759"/>
      <c r="J50" s="759">
        <f>Allocation!$D$15</f>
        <v>0.52599015110063552</v>
      </c>
      <c r="K50" s="759">
        <f>J50</f>
        <v>0.52599015110063552</v>
      </c>
      <c r="L50" s="759">
        <f t="shared" ref="L50:N50" si="16">K50</f>
        <v>0.52599015110063552</v>
      </c>
      <c r="M50" s="759">
        <f t="shared" si="16"/>
        <v>0.52599015110063552</v>
      </c>
      <c r="N50" s="759">
        <f t="shared" si="16"/>
        <v>0.52599015110063552</v>
      </c>
    </row>
    <row r="51" spans="1:17">
      <c r="A51" s="104">
        <f t="shared" si="1"/>
        <v>40</v>
      </c>
      <c r="C51" s="268"/>
      <c r="D51" s="268"/>
      <c r="E51" s="268"/>
      <c r="F51" s="268"/>
      <c r="G51" s="268"/>
      <c r="H51" s="268"/>
      <c r="I51" s="268"/>
      <c r="J51" s="759"/>
      <c r="K51" s="268"/>
      <c r="L51" s="268"/>
      <c r="M51" s="268"/>
      <c r="N51" s="268"/>
    </row>
    <row r="52" spans="1:17">
      <c r="A52" s="104">
        <f t="shared" si="1"/>
        <v>41</v>
      </c>
      <c r="B52" s="60" t="s">
        <v>215</v>
      </c>
      <c r="C52" s="720">
        <f t="shared" ref="C52:I52" si="17">C20</f>
        <v>15633.9</v>
      </c>
      <c r="D52" s="720">
        <f t="shared" si="17"/>
        <v>14237.6</v>
      </c>
      <c r="E52" s="720">
        <f t="shared" si="17"/>
        <v>16828.98</v>
      </c>
      <c r="F52" s="720">
        <f t="shared" si="17"/>
        <v>13664.88</v>
      </c>
      <c r="G52" s="720">
        <f t="shared" si="17"/>
        <v>13940.71</v>
      </c>
      <c r="H52" s="720">
        <f t="shared" si="17"/>
        <v>12724.86</v>
      </c>
      <c r="I52" s="720">
        <f t="shared" si="17"/>
        <v>12327.229549399461</v>
      </c>
      <c r="J52" s="720">
        <f>(J47)*J49*J50</f>
        <v>13456.108062539495</v>
      </c>
      <c r="K52" s="720">
        <f t="shared" ref="K52:N52" si="18">(K47)*K49*K50</f>
        <v>13456.108062539495</v>
      </c>
      <c r="L52" s="720">
        <f t="shared" si="18"/>
        <v>13456.108062539495</v>
      </c>
      <c r="M52" s="720">
        <f t="shared" si="18"/>
        <v>13456.108062539495</v>
      </c>
      <c r="N52" s="720">
        <f t="shared" si="18"/>
        <v>13456.108062539495</v>
      </c>
      <c r="O52" s="719">
        <f>SUM(C52:N52)</f>
        <v>166638.6998620969</v>
      </c>
    </row>
    <row r="53" spans="1:17">
      <c r="A53" s="104">
        <f t="shared" si="1"/>
        <v>42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</row>
    <row r="54" spans="1:17" ht="15.75">
      <c r="A54" s="104">
        <f t="shared" si="1"/>
        <v>43</v>
      </c>
      <c r="B54" s="375" t="s">
        <v>83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7">
      <c r="A55" s="104">
        <f t="shared" si="1"/>
        <v>44</v>
      </c>
      <c r="B55" s="60" t="s">
        <v>294</v>
      </c>
      <c r="C55" s="1156">
        <f>[15]summary!C24</f>
        <v>10597.980000000001</v>
      </c>
      <c r="D55" s="1156">
        <f>[15]summary!D24</f>
        <v>7986.24</v>
      </c>
      <c r="E55" s="1156">
        <f>[15]summary!E24</f>
        <v>21767.620000000006</v>
      </c>
      <c r="F55" s="1156">
        <f>[15]summary!F24</f>
        <v>6560.800000000002</v>
      </c>
      <c r="G55" s="1156">
        <f>[15]summary!G24</f>
        <v>8325.7099999999973</v>
      </c>
      <c r="H55" s="1156">
        <f>[15]summary!H24</f>
        <v>8803.19</v>
      </c>
      <c r="I55" s="1156">
        <f>[15]summary!I24</f>
        <v>7622.8497917870172</v>
      </c>
      <c r="J55" s="1156">
        <f>[15]summary!J24</f>
        <v>8826.2759720775739</v>
      </c>
      <c r="K55" s="1156">
        <f>[15]summary!K24</f>
        <v>8826.2759720775739</v>
      </c>
      <c r="L55" s="1156">
        <f>[15]summary!L24</f>
        <v>8826.2759720775739</v>
      </c>
      <c r="M55" s="1156">
        <f>[15]summary!M24</f>
        <v>8826.2759720775739</v>
      </c>
      <c r="N55" s="1156">
        <f>[15]summary!N24</f>
        <v>8826.2759720775739</v>
      </c>
      <c r="O55" s="718">
        <f t="shared" ref="O55:O62" si="19">SUM(C55:N55)</f>
        <v>115795.76965217493</v>
      </c>
    </row>
    <row r="56" spans="1:17">
      <c r="A56" s="104">
        <f t="shared" si="1"/>
        <v>45</v>
      </c>
      <c r="B56" s="60" t="s">
        <v>295</v>
      </c>
      <c r="C56" s="1156">
        <f>[15]summary!C25</f>
        <v>-110.30000000000001</v>
      </c>
      <c r="D56" s="1156">
        <f>[15]summary!D25</f>
        <v>-30.099999999999998</v>
      </c>
      <c r="E56" s="1156">
        <f>[15]summary!E25</f>
        <v>3.9200000000000008</v>
      </c>
      <c r="F56" s="1156">
        <f>[15]summary!F25</f>
        <v>5.05</v>
      </c>
      <c r="G56" s="1156">
        <f>[15]summary!G25</f>
        <v>0.97</v>
      </c>
      <c r="H56" s="1156">
        <f>[15]summary!H25</f>
        <v>0.46000000000000013</v>
      </c>
      <c r="I56" s="1156">
        <f>[15]summary!I25</f>
        <v>-15.473870130735644</v>
      </c>
      <c r="J56" s="1156">
        <f>[15]summary!J25</f>
        <v>-17.916743981641982</v>
      </c>
      <c r="K56" s="1156">
        <f>[15]summary!K25</f>
        <v>-17.916743981641982</v>
      </c>
      <c r="L56" s="1156">
        <f>[15]summary!L25</f>
        <v>-17.916743981641982</v>
      </c>
      <c r="M56" s="1156">
        <f>[15]summary!M25</f>
        <v>-17.916743981641982</v>
      </c>
      <c r="N56" s="1156">
        <f>[15]summary!N25</f>
        <v>-17.916743981641982</v>
      </c>
      <c r="O56" s="60">
        <f t="shared" si="19"/>
        <v>-235.05759003894556</v>
      </c>
    </row>
    <row r="57" spans="1:17">
      <c r="A57" s="104">
        <f t="shared" si="1"/>
        <v>46</v>
      </c>
      <c r="B57" s="60" t="s">
        <v>296</v>
      </c>
      <c r="C57" s="1156">
        <f>[15]summary!C26</f>
        <v>633.2299999999999</v>
      </c>
      <c r="D57" s="1156">
        <f>[15]summary!D26</f>
        <v>-320.97000000000008</v>
      </c>
      <c r="E57" s="1156">
        <f>[15]summary!E26</f>
        <v>-5.2899999999999991</v>
      </c>
      <c r="F57" s="1156">
        <f>[15]summary!F26</f>
        <v>12.2</v>
      </c>
      <c r="G57" s="1156">
        <f>[15]summary!G26</f>
        <v>4.4500000000000011</v>
      </c>
      <c r="H57" s="1156">
        <f>[15]summary!H26</f>
        <v>3.2</v>
      </c>
      <c r="I57" s="1156">
        <f>[15]summary!I26</f>
        <v>38.901309508669385</v>
      </c>
      <c r="J57" s="1156">
        <f>[15]summary!J26</f>
        <v>45.042694369847915</v>
      </c>
      <c r="K57" s="1156">
        <f>[15]summary!K26</f>
        <v>45.042694369847915</v>
      </c>
      <c r="L57" s="1156">
        <f>[15]summary!L26</f>
        <v>45.042694369847915</v>
      </c>
      <c r="M57" s="1156">
        <f>[15]summary!M26</f>
        <v>45.042694369847915</v>
      </c>
      <c r="N57" s="1156">
        <f>[15]summary!N26</f>
        <v>45.042694369847915</v>
      </c>
      <c r="O57" s="60">
        <f t="shared" si="19"/>
        <v>590.93478135790883</v>
      </c>
    </row>
    <row r="58" spans="1:17">
      <c r="A58" s="104">
        <f t="shared" si="1"/>
        <v>47</v>
      </c>
      <c r="B58" t="s">
        <v>1244</v>
      </c>
      <c r="C58" s="1156">
        <f>[15]summary!C27</f>
        <v>139.52000000000001</v>
      </c>
      <c r="D58" s="1156">
        <f>[15]summary!D27</f>
        <v>55.27</v>
      </c>
      <c r="E58" s="1156">
        <f>[15]summary!E27</f>
        <v>23.69</v>
      </c>
      <c r="F58" s="1156">
        <f>[15]summary!F27</f>
        <v>3.95</v>
      </c>
      <c r="G58" s="1156">
        <f>[15]summary!G27</f>
        <v>7.9</v>
      </c>
      <c r="H58" s="1156">
        <f>[15]summary!H27</f>
        <v>90.8</v>
      </c>
      <c r="I58" s="1156">
        <f>[15]summary!I27</f>
        <v>0</v>
      </c>
      <c r="J58" s="1156">
        <f>[15]summary!J27</f>
        <v>0</v>
      </c>
      <c r="K58" s="1156">
        <f>[15]summary!K27</f>
        <v>0</v>
      </c>
      <c r="L58" s="1156">
        <f>[15]summary!L27</f>
        <v>0</v>
      </c>
      <c r="M58" s="1156">
        <f>[15]summary!M27</f>
        <v>0</v>
      </c>
      <c r="N58" s="1156">
        <f>[15]summary!N27</f>
        <v>0</v>
      </c>
      <c r="O58" s="60">
        <f t="shared" si="19"/>
        <v>321.13</v>
      </c>
    </row>
    <row r="59" spans="1:17">
      <c r="A59" s="104">
        <f t="shared" si="1"/>
        <v>48</v>
      </c>
      <c r="B59" s="60" t="s">
        <v>297</v>
      </c>
      <c r="C59" s="1156">
        <f>[15]summary!C28</f>
        <v>10000</v>
      </c>
      <c r="D59" s="1156">
        <f>[15]summary!D28</f>
        <v>10000</v>
      </c>
      <c r="E59" s="1156">
        <f>[15]summary!E28</f>
        <v>10000</v>
      </c>
      <c r="F59" s="1156">
        <f>[15]summary!F28</f>
        <v>10000</v>
      </c>
      <c r="G59" s="1156">
        <f>[15]summary!G28</f>
        <v>10000</v>
      </c>
      <c r="H59" s="1156">
        <f>[15]summary!H28</f>
        <v>10000</v>
      </c>
      <c r="I59" s="1156">
        <f>[15]summary!I28</f>
        <v>10000</v>
      </c>
      <c r="J59" s="1156">
        <f>'[16]FY 2016 Budget'!$I$25/12</f>
        <v>7500</v>
      </c>
      <c r="K59" s="1156">
        <f>'[16]FY 2016 Budget'!$I$25/12</f>
        <v>7500</v>
      </c>
      <c r="L59" s="1156">
        <f>'[16]FY 2016 Budget'!$I$25/12</f>
        <v>7500</v>
      </c>
      <c r="M59" s="1156">
        <f>'[16]FY 2016 Budget'!$I$25/12</f>
        <v>7500</v>
      </c>
      <c r="N59" s="1156">
        <f>'[16]FY 2016 Budget'!$I$25/12</f>
        <v>7500</v>
      </c>
      <c r="O59" s="60">
        <f t="shared" si="19"/>
        <v>107500</v>
      </c>
    </row>
    <row r="60" spans="1:17">
      <c r="A60" s="104">
        <f t="shared" si="1"/>
        <v>49</v>
      </c>
      <c r="B60" s="119" t="s">
        <v>1405</v>
      </c>
      <c r="C60" s="1156">
        <f>[15]summary!C29</f>
        <v>0</v>
      </c>
      <c r="D60" s="1156">
        <f>[15]summary!D29</f>
        <v>0</v>
      </c>
      <c r="E60" s="1156">
        <f>[15]summary!E29</f>
        <v>0</v>
      </c>
      <c r="F60" s="1156">
        <f>[15]summary!F29</f>
        <v>0</v>
      </c>
      <c r="G60" s="1156">
        <f>[15]summary!G29</f>
        <v>0</v>
      </c>
      <c r="H60" s="1156">
        <f>[15]summary!H29</f>
        <v>0</v>
      </c>
      <c r="I60" s="1156">
        <f>[15]summary!I29</f>
        <v>0</v>
      </c>
      <c r="J60" s="1156">
        <f>[15]summary!J29</f>
        <v>0</v>
      </c>
      <c r="K60" s="1156">
        <f>[15]summary!K29</f>
        <v>0</v>
      </c>
      <c r="L60" s="1156">
        <f>[15]summary!L29</f>
        <v>0</v>
      </c>
      <c r="M60" s="1156">
        <f>[15]summary!M29</f>
        <v>0</v>
      </c>
      <c r="N60" s="1156">
        <f>[15]summary!N29</f>
        <v>0</v>
      </c>
      <c r="O60" s="60">
        <f t="shared" si="19"/>
        <v>0</v>
      </c>
    </row>
    <row r="61" spans="1:17">
      <c r="A61" s="104">
        <f t="shared" si="1"/>
        <v>50</v>
      </c>
      <c r="B61"/>
      <c r="C61" s="684"/>
      <c r="D61" s="684"/>
      <c r="E61" s="827"/>
      <c r="F61" s="827"/>
      <c r="G61" s="684"/>
      <c r="H61" s="684"/>
      <c r="I61" s="684"/>
      <c r="J61" s="684"/>
      <c r="K61" s="684"/>
      <c r="L61" s="684"/>
      <c r="M61" s="684"/>
      <c r="N61" s="684"/>
      <c r="Q61" s="119"/>
    </row>
    <row r="62" spans="1:17">
      <c r="A62" s="104">
        <f t="shared" si="1"/>
        <v>51</v>
      </c>
      <c r="B62" s="60" t="s">
        <v>212</v>
      </c>
      <c r="C62" s="720">
        <f t="shared" ref="C62:N62" si="20">SUM(C55:C60)</f>
        <v>21260.43</v>
      </c>
      <c r="D62" s="720">
        <f t="shared" si="20"/>
        <v>17690.439999999999</v>
      </c>
      <c r="E62" s="720">
        <f t="shared" si="20"/>
        <v>31789.940000000002</v>
      </c>
      <c r="F62" s="720">
        <f t="shared" si="20"/>
        <v>16582</v>
      </c>
      <c r="G62" s="720">
        <f t="shared" si="20"/>
        <v>18339.03</v>
      </c>
      <c r="H62" s="720">
        <f t="shared" si="20"/>
        <v>18897.650000000001</v>
      </c>
      <c r="I62" s="720">
        <f t="shared" si="20"/>
        <v>17646.27723116495</v>
      </c>
      <c r="J62" s="720">
        <f t="shared" si="20"/>
        <v>16353.401922465779</v>
      </c>
      <c r="K62" s="720">
        <f t="shared" si="20"/>
        <v>16353.401922465779</v>
      </c>
      <c r="L62" s="720">
        <f t="shared" si="20"/>
        <v>16353.401922465779</v>
      </c>
      <c r="M62" s="720">
        <f t="shared" si="20"/>
        <v>16353.401922465779</v>
      </c>
      <c r="N62" s="720">
        <f t="shared" si="20"/>
        <v>16353.401922465779</v>
      </c>
      <c r="O62" s="719">
        <f t="shared" si="19"/>
        <v>223972.77684349378</v>
      </c>
    </row>
    <row r="63" spans="1:17">
      <c r="A63" s="104">
        <f t="shared" si="1"/>
        <v>52</v>
      </c>
      <c r="C63" s="1008"/>
      <c r="D63" s="1008"/>
      <c r="E63" s="1008"/>
      <c r="F63" s="1008"/>
      <c r="G63" s="1008"/>
      <c r="H63" s="1008"/>
      <c r="I63" s="1008"/>
      <c r="J63" s="1008"/>
      <c r="K63" s="1008"/>
      <c r="L63" s="1008"/>
      <c r="M63" s="1008"/>
      <c r="N63" s="1008"/>
    </row>
    <row r="64" spans="1:17">
      <c r="A64" s="104">
        <f t="shared" si="1"/>
        <v>53</v>
      </c>
      <c r="B64" s="60" t="s">
        <v>213</v>
      </c>
      <c r="C64" s="759"/>
      <c r="D64" s="759"/>
      <c r="E64" s="759"/>
      <c r="F64" s="759"/>
      <c r="G64" s="759"/>
      <c r="H64" s="759"/>
      <c r="I64" s="759"/>
      <c r="J64" s="759">
        <v>1</v>
      </c>
      <c r="K64" s="759">
        <f>J64</f>
        <v>1</v>
      </c>
      <c r="L64" s="759">
        <f t="shared" ref="L64:N64" si="21">K64</f>
        <v>1</v>
      </c>
      <c r="M64" s="759">
        <f t="shared" si="21"/>
        <v>1</v>
      </c>
      <c r="N64" s="759">
        <f t="shared" si="21"/>
        <v>1</v>
      </c>
    </row>
    <row r="65" spans="1:16">
      <c r="A65" s="104">
        <f t="shared" si="1"/>
        <v>54</v>
      </c>
      <c r="B65" s="60" t="s">
        <v>214</v>
      </c>
      <c r="C65" s="759"/>
      <c r="D65" s="759"/>
      <c r="E65" s="759"/>
      <c r="F65" s="759"/>
      <c r="G65" s="759"/>
      <c r="H65" s="759"/>
      <c r="I65" s="759"/>
      <c r="J65" s="759">
        <f>Allocation!$H$17</f>
        <v>0.49090457251500325</v>
      </c>
      <c r="K65" s="759">
        <f>J65</f>
        <v>0.49090457251500325</v>
      </c>
      <c r="L65" s="759">
        <f t="shared" ref="L65:N65" si="22">K65</f>
        <v>0.49090457251500325</v>
      </c>
      <c r="M65" s="759">
        <f t="shared" si="22"/>
        <v>0.49090457251500325</v>
      </c>
      <c r="N65" s="759">
        <f t="shared" si="22"/>
        <v>0.49090457251500325</v>
      </c>
    </row>
    <row r="66" spans="1:16">
      <c r="A66" s="104">
        <f t="shared" si="1"/>
        <v>55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6">
      <c r="A67" s="104">
        <f t="shared" si="1"/>
        <v>56</v>
      </c>
      <c r="B67" s="60" t="s">
        <v>215</v>
      </c>
      <c r="C67" s="720">
        <f t="shared" ref="C67:I67" si="23">C22</f>
        <v>10438.870000000001</v>
      </c>
      <c r="D67" s="720">
        <f t="shared" si="23"/>
        <v>8686.01</v>
      </c>
      <c r="E67" s="720">
        <f t="shared" si="23"/>
        <v>15608.87</v>
      </c>
      <c r="F67" s="720">
        <f t="shared" si="23"/>
        <v>8141.77</v>
      </c>
      <c r="G67" s="720">
        <f t="shared" si="23"/>
        <v>9004.4500000000007</v>
      </c>
      <c r="H67" s="720">
        <f t="shared" si="23"/>
        <v>9278.74</v>
      </c>
      <c r="I67" s="720">
        <f t="shared" si="23"/>
        <v>8662.638180646265</v>
      </c>
      <c r="J67" s="720">
        <f>(J62)*J64*J65</f>
        <v>8027.9597799140956</v>
      </c>
      <c r="K67" s="720">
        <f t="shared" ref="K67:N67" si="24">(K62)*K64*K65</f>
        <v>8027.9597799140956</v>
      </c>
      <c r="L67" s="720">
        <f t="shared" si="24"/>
        <v>8027.9597799140956</v>
      </c>
      <c r="M67" s="720">
        <f t="shared" si="24"/>
        <v>8027.9597799140956</v>
      </c>
      <c r="N67" s="720">
        <f t="shared" si="24"/>
        <v>8027.9597799140956</v>
      </c>
      <c r="O67" s="720">
        <f>SUM(C67:N67)</f>
        <v>109961.14708021672</v>
      </c>
    </row>
    <row r="68" spans="1:16">
      <c r="C68" s="960"/>
      <c r="E68" s="268"/>
    </row>
    <row r="69" spans="1:16">
      <c r="E69" s="268"/>
    </row>
    <row r="70" spans="1:16">
      <c r="B70" s="678" t="s">
        <v>1442</v>
      </c>
      <c r="C70" s="759">
        <f>C39/C34</f>
        <v>5.2586107288343432E-2</v>
      </c>
      <c r="D70" s="759">
        <f t="shared" ref="D70:N70" si="25">D39/D34</f>
        <v>5.2586085402831287E-2</v>
      </c>
      <c r="E70" s="759">
        <f t="shared" si="25"/>
        <v>5.2586093645381318E-2</v>
      </c>
      <c r="F70" s="759">
        <f t="shared" si="25"/>
        <v>5.2586108892525567E-2</v>
      </c>
      <c r="G70" s="759">
        <f t="shared" si="25"/>
        <v>5.2586101283398225E-2</v>
      </c>
      <c r="H70" s="759">
        <f t="shared" si="25"/>
        <v>5.258608646970743E-2</v>
      </c>
      <c r="I70" s="759">
        <f t="shared" si="25"/>
        <v>5.2575879716356855E-2</v>
      </c>
      <c r="J70" s="759">
        <f t="shared" si="25"/>
        <v>5.2575879716356855E-2</v>
      </c>
      <c r="K70" s="759">
        <f t="shared" si="25"/>
        <v>5.2575879716356855E-2</v>
      </c>
      <c r="L70" s="759">
        <f t="shared" si="25"/>
        <v>5.2575879716356855E-2</v>
      </c>
      <c r="M70" s="759">
        <f t="shared" si="25"/>
        <v>5.2575879716356855E-2</v>
      </c>
      <c r="N70" s="759">
        <f t="shared" si="25"/>
        <v>5.2575879716356855E-2</v>
      </c>
      <c r="O70" s="771"/>
    </row>
    <row r="71" spans="1:16">
      <c r="B71" s="678" t="s">
        <v>1443</v>
      </c>
      <c r="C71" s="759">
        <f>C52/C47</f>
        <v>5.7176214937423753E-2</v>
      </c>
      <c r="D71" s="759">
        <f t="shared" ref="D71:I71" si="26">D52/D47</f>
        <v>5.7176181881106666E-2</v>
      </c>
      <c r="E71" s="759">
        <f t="shared" si="26"/>
        <v>5.7176199085254467E-2</v>
      </c>
      <c r="F71" s="759">
        <f t="shared" si="26"/>
        <v>5.7176230111472236E-2</v>
      </c>
      <c r="G71" s="759">
        <f t="shared" si="26"/>
        <v>5.7185245202478176E-2</v>
      </c>
      <c r="H71" s="759">
        <f t="shared" si="26"/>
        <v>5.7176225446023278E-2</v>
      </c>
      <c r="I71" s="759">
        <f t="shared" si="26"/>
        <v>5.7122530409529006E-2</v>
      </c>
      <c r="J71" s="759">
        <f t="shared" ref="J71:N71" si="27">J52/J47</f>
        <v>5.712253040952902E-2</v>
      </c>
      <c r="K71" s="759">
        <f t="shared" si="27"/>
        <v>5.712253040952902E-2</v>
      </c>
      <c r="L71" s="759">
        <f t="shared" si="27"/>
        <v>5.712253040952902E-2</v>
      </c>
      <c r="M71" s="759">
        <f t="shared" si="27"/>
        <v>5.712253040952902E-2</v>
      </c>
      <c r="N71" s="759">
        <f t="shared" si="27"/>
        <v>5.712253040952902E-2</v>
      </c>
      <c r="P71" s="771"/>
    </row>
    <row r="72" spans="1:16">
      <c r="B72" s="678" t="s">
        <v>1444</v>
      </c>
      <c r="C72" s="759">
        <f>C67/C62</f>
        <v>0.4909999468496169</v>
      </c>
      <c r="D72" s="759">
        <f t="shared" ref="D72:I72" si="28">D67/D62</f>
        <v>0.49100022384971775</v>
      </c>
      <c r="E72" s="759">
        <f t="shared" si="28"/>
        <v>0.49100029757841629</v>
      </c>
      <c r="F72" s="759">
        <f t="shared" si="28"/>
        <v>0.49100048245085037</v>
      </c>
      <c r="G72" s="759">
        <f t="shared" si="28"/>
        <v>0.49099925132354333</v>
      </c>
      <c r="H72" s="759">
        <f t="shared" si="28"/>
        <v>0.49099967456271015</v>
      </c>
      <c r="I72" s="759">
        <f t="shared" si="28"/>
        <v>0.49090457251500325</v>
      </c>
      <c r="J72" s="759">
        <f t="shared" ref="J72:N72" si="29">J67/J62</f>
        <v>0.49090457251500325</v>
      </c>
      <c r="K72" s="759">
        <f t="shared" si="29"/>
        <v>0.49090457251500325</v>
      </c>
      <c r="L72" s="759">
        <f t="shared" si="29"/>
        <v>0.49090457251500325</v>
      </c>
      <c r="M72" s="759">
        <f t="shared" si="29"/>
        <v>0.49090457251500325</v>
      </c>
      <c r="N72" s="759">
        <f t="shared" si="29"/>
        <v>0.49090457251500325</v>
      </c>
      <c r="P72" s="771"/>
    </row>
    <row r="73" spans="1:16">
      <c r="P73" s="771"/>
    </row>
    <row r="74" spans="1:16">
      <c r="E74" s="268"/>
      <c r="F74" s="268"/>
      <c r="G74" s="268"/>
      <c r="H74" s="268"/>
      <c r="I74" s="268"/>
      <c r="P74" s="771"/>
    </row>
    <row r="75" spans="1:16">
      <c r="E75" s="890"/>
      <c r="F75" s="268"/>
      <c r="G75" s="268"/>
      <c r="H75" s="268"/>
      <c r="I75" s="268"/>
      <c r="J75" s="1060"/>
    </row>
    <row r="76" spans="1:16">
      <c r="E76" s="268"/>
      <c r="F76" s="268"/>
      <c r="G76" s="268"/>
      <c r="H76" s="268"/>
      <c r="I76" s="268"/>
    </row>
    <row r="78" spans="1:16">
      <c r="J78" s="771"/>
      <c r="K78" s="771"/>
    </row>
    <row r="79" spans="1:16">
      <c r="J79" s="771"/>
      <c r="K79" s="771"/>
    </row>
    <row r="80" spans="1:16">
      <c r="J80" s="771"/>
      <c r="K80" s="771"/>
    </row>
    <row r="81" spans="10:11">
      <c r="J81" s="771"/>
      <c r="K81" s="771"/>
    </row>
    <row r="82" spans="10:11">
      <c r="J82" s="771"/>
      <c r="K82" s="771"/>
    </row>
    <row r="83" spans="10:11">
      <c r="J83" s="771"/>
      <c r="K83" s="771"/>
    </row>
    <row r="84" spans="10:11">
      <c r="J84" s="771"/>
      <c r="K84" s="771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69"/>
  <sheetViews>
    <sheetView view="pageBreakPreview" zoomScale="70" zoomScaleNormal="70" zoomScaleSheetLayoutView="70" workbookViewId="0">
      <pane xSplit="2" ySplit="10" topLeftCell="C11" activePane="bottomRight" state="frozen"/>
      <selection activeCell="E55" sqref="E55"/>
      <selection pane="topRight" activeCell="E55" sqref="E55"/>
      <selection pane="bottomLeft" activeCell="E55" sqref="E55"/>
      <selection pane="bottomRight" activeCell="E55" sqref="E55"/>
    </sheetView>
  </sheetViews>
  <sheetFormatPr defaultRowHeight="15"/>
  <cols>
    <col min="1" max="1" width="4.6640625" style="1" customWidth="1"/>
    <col min="2" max="2" width="40.6640625" style="1" customWidth="1"/>
    <col min="3" max="14" width="10" style="1" customWidth="1"/>
    <col min="15" max="15" width="13.88671875" style="1" customWidth="1"/>
    <col min="16" max="16" width="13.109375" style="1" bestFit="1" customWidth="1"/>
    <col min="17" max="17" width="12" style="1" bestFit="1" customWidth="1"/>
    <col min="18" max="18" width="11.44140625" style="1" bestFit="1" customWidth="1"/>
    <col min="19" max="16384" width="8.88671875" style="1"/>
  </cols>
  <sheetData>
    <row r="1" spans="1:24" s="79" customFormat="1">
      <c r="A1" s="1259" t="str">
        <f>'Table of Contents'!A1:C1</f>
        <v>Atmos Energy Corporation, Kentucky/Mid-States Division</v>
      </c>
      <c r="B1" s="1259"/>
      <c r="C1" s="1259"/>
      <c r="D1" s="1259"/>
      <c r="E1" s="1259"/>
      <c r="F1" s="1259"/>
      <c r="G1" s="1259"/>
      <c r="H1" s="1259"/>
      <c r="I1" s="1259"/>
      <c r="J1" s="1259"/>
      <c r="K1" s="1259"/>
      <c r="L1" s="1259"/>
      <c r="M1" s="1259"/>
      <c r="N1" s="1259"/>
      <c r="O1" s="1259"/>
      <c r="P1" s="1"/>
      <c r="Q1" s="1"/>
      <c r="R1" s="1"/>
      <c r="S1" s="1"/>
      <c r="T1" s="1"/>
      <c r="U1" s="1"/>
      <c r="V1" s="1"/>
      <c r="W1" s="1"/>
      <c r="X1" s="1"/>
    </row>
    <row r="2" spans="1:24" s="79" customFormat="1">
      <c r="A2" s="1259" t="str">
        <f>'Table of Contents'!A2:C2</f>
        <v>Kentucky Jurisdiction Case No. 2015-00343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"/>
      <c r="Q2" s="1"/>
      <c r="R2" s="1"/>
      <c r="S2" s="1"/>
      <c r="T2" s="1"/>
      <c r="U2" s="1"/>
      <c r="V2" s="1"/>
      <c r="W2" s="1"/>
      <c r="X2" s="1"/>
    </row>
    <row r="3" spans="1:24" s="79" customFormat="1">
      <c r="A3" s="1259" t="s">
        <v>197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  <c r="M3" s="1259"/>
      <c r="N3" s="1259"/>
      <c r="O3" s="1259"/>
      <c r="P3" s="1"/>
      <c r="Q3" s="1060"/>
      <c r="R3" s="1"/>
      <c r="S3" s="1"/>
      <c r="T3" s="1"/>
      <c r="U3" s="1"/>
      <c r="V3" s="1"/>
      <c r="W3" s="1"/>
      <c r="X3" s="1"/>
    </row>
    <row r="4" spans="1:24" s="79" customFormat="1">
      <c r="A4" s="1259" t="str">
        <f>'Table of Contents'!A4:C4</f>
        <v>Forecasted Test Period: Twelve Months Ended May 31, 2017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"/>
      <c r="Q4" s="1"/>
      <c r="R4" s="1"/>
      <c r="S4" s="1"/>
      <c r="T4" s="1"/>
      <c r="U4" s="1"/>
      <c r="V4" s="1"/>
      <c r="W4" s="1"/>
      <c r="X4" s="1"/>
    </row>
    <row r="5" spans="1:24" s="79" customFormat="1">
      <c r="A5" s="107"/>
      <c r="B5" s="206"/>
      <c r="C5" s="206"/>
      <c r="D5" s="40"/>
      <c r="E5" s="40"/>
      <c r="F5" s="275"/>
      <c r="G5" s="40"/>
      <c r="H5" s="40"/>
      <c r="I5" s="40"/>
      <c r="J5" s="40"/>
      <c r="K5" s="40"/>
      <c r="L5" s="40"/>
      <c r="M5" s="486"/>
      <c r="N5" s="40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79" customFormat="1">
      <c r="A6" s="115" t="str">
        <f>'C.2.1 F'!A6</f>
        <v>Data:________Base Period___X____Forecasted Period</v>
      </c>
      <c r="B6" s="107"/>
      <c r="C6" s="107"/>
      <c r="D6" s="1"/>
      <c r="E6" s="1"/>
      <c r="F6" s="1"/>
      <c r="G6" s="1"/>
      <c r="H6" s="1"/>
      <c r="I6" s="1"/>
      <c r="J6" s="1"/>
      <c r="K6" s="1"/>
      <c r="L6" s="1"/>
      <c r="M6" s="100"/>
      <c r="N6" s="1"/>
      <c r="O6" s="491" t="s">
        <v>1525</v>
      </c>
      <c r="P6" s="1"/>
      <c r="Q6" s="1"/>
      <c r="R6" s="1"/>
      <c r="S6" s="1"/>
      <c r="T6" s="1"/>
      <c r="U6" s="1"/>
      <c r="V6" s="1"/>
      <c r="W6" s="1"/>
      <c r="X6" s="1"/>
    </row>
    <row r="7" spans="1:24" s="79" customFormat="1">
      <c r="A7" s="115" t="str">
        <f>'C.2.1 F'!A7</f>
        <v>Type of Filing:___X____Original________Updated ________Revised</v>
      </c>
      <c r="B7" s="107"/>
      <c r="C7" s="107"/>
      <c r="D7" s="1"/>
      <c r="E7" s="771"/>
      <c r="F7" s="1"/>
      <c r="G7" s="1"/>
      <c r="H7" s="771"/>
      <c r="I7" s="1"/>
      <c r="J7" s="1"/>
      <c r="K7" s="1"/>
      <c r="L7" s="1"/>
      <c r="M7" s="100"/>
      <c r="N7" s="329"/>
      <c r="O7" s="650" t="s">
        <v>731</v>
      </c>
      <c r="P7" s="1"/>
      <c r="Q7" s="1"/>
      <c r="R7" s="1"/>
      <c r="S7" s="1"/>
      <c r="T7" s="1"/>
      <c r="U7" s="1"/>
      <c r="V7" s="1"/>
      <c r="W7" s="1"/>
      <c r="X7" s="1"/>
    </row>
    <row r="8" spans="1:24" s="79" customFormat="1">
      <c r="A8" s="513" t="str">
        <f>'C.2.1 F'!A8</f>
        <v>Workpaper Reference No(s).____________________</v>
      </c>
      <c r="B8" s="108"/>
      <c r="C8" s="207"/>
      <c r="D8" s="6"/>
      <c r="E8" s="6"/>
      <c r="F8" s="6"/>
      <c r="G8" s="6"/>
      <c r="H8" s="6"/>
      <c r="I8" s="6"/>
      <c r="J8" s="6"/>
      <c r="K8" s="6"/>
      <c r="L8" s="45"/>
      <c r="M8" s="108"/>
      <c r="N8" s="330"/>
      <c r="O8" s="961" t="str">
        <f>LEFT(C.1!J9,15)</f>
        <v>Witness: Waller</v>
      </c>
      <c r="P8" s="1"/>
      <c r="Q8" s="1"/>
      <c r="R8" s="1"/>
      <c r="S8" s="1"/>
      <c r="T8" s="1"/>
      <c r="U8" s="1"/>
      <c r="V8" s="1"/>
      <c r="W8" s="1"/>
      <c r="X8" s="1"/>
    </row>
    <row r="9" spans="1:24" s="79" customFormat="1">
      <c r="A9" s="514" t="s">
        <v>98</v>
      </c>
      <c r="B9" s="107"/>
      <c r="C9" s="503" t="str">
        <f>'C.2.2-F 09'!D9</f>
        <v>Forecasted</v>
      </c>
      <c r="D9" s="503" t="str">
        <f>'C.2.2-F 09'!E9</f>
        <v>Forecasted</v>
      </c>
      <c r="E9" s="503" t="str">
        <f>'C.2.2-F 09'!F9</f>
        <v>Forecasted</v>
      </c>
      <c r="F9" s="503" t="str">
        <f>'C.2.2-F 09'!G9</f>
        <v>Forecasted</v>
      </c>
      <c r="G9" s="503" t="str">
        <f>'C.2.2-F 09'!H9</f>
        <v>Forecasted</v>
      </c>
      <c r="H9" s="503" t="str">
        <f>'C.2.2-F 09'!I9</f>
        <v>Forecasted</v>
      </c>
      <c r="I9" s="503" t="str">
        <f>'C.2.2-F 09'!J9</f>
        <v>Forecasted</v>
      </c>
      <c r="J9" s="503" t="str">
        <f>'C.2.2-F 09'!K9</f>
        <v>Forecasted</v>
      </c>
      <c r="K9" s="503" t="str">
        <f>'C.2.2-F 09'!L9</f>
        <v>Forecasted</v>
      </c>
      <c r="L9" s="503" t="str">
        <f>'C.2.2-F 09'!M9</f>
        <v>Forecasted</v>
      </c>
      <c r="M9" s="503" t="str">
        <f>'C.2.2-F 09'!N9</f>
        <v>Forecasted</v>
      </c>
      <c r="N9" s="503" t="str">
        <f>'C.2.2-F 09'!O9</f>
        <v>Forecasted</v>
      </c>
      <c r="O9" s="475"/>
      <c r="P9" s="1"/>
      <c r="Q9" s="1"/>
      <c r="R9" s="1"/>
      <c r="S9" s="1"/>
      <c r="T9" s="1"/>
      <c r="U9" s="1"/>
      <c r="V9" s="1"/>
      <c r="W9" s="1"/>
      <c r="X9" s="1"/>
    </row>
    <row r="10" spans="1:24" s="79" customFormat="1">
      <c r="A10" s="515" t="s">
        <v>104</v>
      </c>
      <c r="B10" s="464" t="s">
        <v>196</v>
      </c>
      <c r="C10" s="516">
        <f>'C.2.2-F 09'!D10</f>
        <v>42551</v>
      </c>
      <c r="D10" s="516">
        <f>'C.2.2-F 09'!E10</f>
        <v>42582</v>
      </c>
      <c r="E10" s="516">
        <f>'C.2.2-F 09'!F10</f>
        <v>42613</v>
      </c>
      <c r="F10" s="516">
        <f>'C.2.2-F 09'!G10</f>
        <v>42643</v>
      </c>
      <c r="G10" s="516">
        <f>'C.2.2-F 09'!H10</f>
        <v>42674</v>
      </c>
      <c r="H10" s="516">
        <f>'C.2.2-F 09'!I10</f>
        <v>42704</v>
      </c>
      <c r="I10" s="516">
        <f>'C.2.2-F 09'!J10</f>
        <v>42735</v>
      </c>
      <c r="J10" s="516">
        <f>'C.2.2-F 09'!K10</f>
        <v>42766</v>
      </c>
      <c r="K10" s="516">
        <f>'C.2.2-F 09'!L10</f>
        <v>42794</v>
      </c>
      <c r="L10" s="516">
        <f>'C.2.2-F 09'!M10</f>
        <v>42825</v>
      </c>
      <c r="M10" s="516">
        <f>'C.2.2-F 09'!N10</f>
        <v>42855</v>
      </c>
      <c r="N10" s="516">
        <f>'C.2.2-F 09'!O10</f>
        <v>42886</v>
      </c>
      <c r="O10" s="476" t="str">
        <f>'C.2.2 B 09'!P10</f>
        <v>Total</v>
      </c>
      <c r="P10" s="299"/>
      <c r="R10" s="1"/>
      <c r="S10" s="1"/>
      <c r="T10" s="1"/>
      <c r="U10" s="1"/>
      <c r="V10" s="1"/>
      <c r="W10" s="1"/>
      <c r="X10" s="1"/>
    </row>
    <row r="11" spans="1:24" ht="15.75">
      <c r="A11" s="107"/>
      <c r="B11" s="375"/>
      <c r="C11" s="160"/>
      <c r="D11" s="2"/>
      <c r="E11" s="2"/>
      <c r="F11" s="2"/>
      <c r="G11" s="2"/>
      <c r="H11" s="160"/>
      <c r="I11" s="2"/>
      <c r="J11" s="2"/>
      <c r="K11" s="2"/>
      <c r="L11" s="2"/>
      <c r="M11" s="2"/>
      <c r="N11" s="2"/>
      <c r="O11" s="2"/>
    </row>
    <row r="12" spans="1:24" ht="15.75">
      <c r="A12" s="107"/>
      <c r="B12" s="375" t="s">
        <v>198</v>
      </c>
      <c r="C12" s="160"/>
      <c r="D12" s="2"/>
      <c r="E12" s="2"/>
      <c r="F12" s="2"/>
      <c r="G12" s="2"/>
      <c r="H12" s="160"/>
      <c r="I12" s="2"/>
      <c r="J12" s="2"/>
      <c r="K12" s="2"/>
      <c r="L12" s="2"/>
      <c r="M12" s="2"/>
      <c r="N12" s="2"/>
      <c r="O12" s="2"/>
    </row>
    <row r="13" spans="1:24">
      <c r="A13" s="77">
        <v>1</v>
      </c>
      <c r="B13" s="1" t="s">
        <v>294</v>
      </c>
      <c r="C13" s="1156">
        <f>'C.2.3 B'!F12*1.03</f>
        <v>15103.775799999996</v>
      </c>
      <c r="D13" s="1156">
        <f>'C.2.3 B'!G12*1.03</f>
        <v>18811.0857</v>
      </c>
      <c r="E13" s="1156">
        <f>'C.2.3 B'!H12*1.03</f>
        <v>19664.306800000002</v>
      </c>
      <c r="F13" s="1156">
        <f>'C.2.3 B'!I12*1.03</f>
        <v>19578.9385399534</v>
      </c>
      <c r="G13" s="1156">
        <f>'C.2.3 B'!J12*1.03</f>
        <v>57765.713394053055</v>
      </c>
      <c r="H13" s="1156">
        <f>'C.2.3 B'!K12*1.03</f>
        <v>56645.920753523591</v>
      </c>
      <c r="I13" s="1156">
        <f>'C.2.3 B'!L12*1.03</f>
        <v>21039.180957640179</v>
      </c>
      <c r="J13" s="1156">
        <f>'C.2.3 B'!M12*1.03</f>
        <v>54281.230433870704</v>
      </c>
      <c r="K13" s="1156">
        <f>'C.2.3 B'!N12*1.03</f>
        <v>33168.216994437375</v>
      </c>
      <c r="L13" s="1156">
        <f>'C.2.3 B'!C12*1.03*1.03</f>
        <v>31996.637910000005</v>
      </c>
      <c r="M13" s="1156">
        <f>'C.2.3 B'!D12*1.03*1.03</f>
        <v>19204.125357000001</v>
      </c>
      <c r="N13" s="1156">
        <f>'C.2.3 B'!E12*1.03*1.03</f>
        <v>53189.049002</v>
      </c>
      <c r="O13" s="448">
        <f t="shared" ref="O13:O23" si="0">SUM(C13:N13)</f>
        <v>400448.18164247827</v>
      </c>
      <c r="P13" s="771"/>
      <c r="S13" s="1060"/>
    </row>
    <row r="14" spans="1:24">
      <c r="A14" s="77">
        <f>A13+1</f>
        <v>2</v>
      </c>
      <c r="B14" s="1" t="s">
        <v>295</v>
      </c>
      <c r="C14" s="684">
        <f>'C.2.3 B'!F13*1.03</f>
        <v>11.762600000000001</v>
      </c>
      <c r="D14" s="684">
        <f>'C.2.3 B'!G13*1.03</f>
        <v>2.0703000000000009</v>
      </c>
      <c r="E14" s="684">
        <f>'C.2.3 B'!H13*1.03</f>
        <v>0.98880000000000046</v>
      </c>
      <c r="F14" s="684">
        <f>'C.2.3 B'!I13*1.03</f>
        <v>-38.12409947402513</v>
      </c>
      <c r="G14" s="684">
        <f>'C.2.3 B'!J13*1.03</f>
        <v>-112.48136864666546</v>
      </c>
      <c r="H14" s="684">
        <f>'C.2.3 B'!K13*1.03</f>
        <v>-110.30090896900164</v>
      </c>
      <c r="I14" s="684">
        <f>'C.2.3 B'!L13*1.03</f>
        <v>-40.967482789953053</v>
      </c>
      <c r="J14" s="684">
        <f>'C.2.3 B'!M13*1.03</f>
        <v>-105.6963851441914</v>
      </c>
      <c r="K14" s="684">
        <f>'C.2.3 B'!N13*1.03</f>
        <v>-64.585135782084677</v>
      </c>
      <c r="L14" s="684">
        <f>'C.2.3 B'!C13*1.03*1.03</f>
        <v>-249.01444800000004</v>
      </c>
      <c r="M14" s="684">
        <f>'C.2.3 B'!D13*1.03*1.03</f>
        <v>-86.728575000000006</v>
      </c>
      <c r="N14" s="684">
        <f>'C.2.3 B'!E13*1.03*1.03</f>
        <v>9.7496710000000046</v>
      </c>
      <c r="O14" s="581">
        <f t="shared" si="0"/>
        <v>-783.32703280592125</v>
      </c>
      <c r="P14" s="82"/>
    </row>
    <row r="15" spans="1:24">
      <c r="A15" s="926">
        <f t="shared" ref="A15:A68" si="1">A14+1</f>
        <v>3</v>
      </c>
      <c r="B15" s="1" t="s">
        <v>296</v>
      </c>
      <c r="C15" s="684">
        <f>'C.2.3 B'!F14*1.03</f>
        <v>28.376499999999997</v>
      </c>
      <c r="D15" s="684">
        <f>'C.2.3 B'!G14*1.03</f>
        <v>9.8983000000000008</v>
      </c>
      <c r="E15" s="684">
        <f>'C.2.3 B'!H14*1.03</f>
        <v>7.1894</v>
      </c>
      <c r="F15" s="684">
        <f>'C.2.3 B'!I14*1.03</f>
        <v>124.97555952062463</v>
      </c>
      <c r="G15" s="684">
        <f>'C.2.3 B'!J14*1.03</f>
        <v>368.72797459361163</v>
      </c>
      <c r="H15" s="684">
        <f>'C.2.3 B'!K14*1.03</f>
        <v>361.58015544541479</v>
      </c>
      <c r="I15" s="684">
        <f>'C.2.3 B'!L14*1.03</f>
        <v>134.29652514977505</v>
      </c>
      <c r="J15" s="684">
        <f>'C.2.3 B'!M14*1.03</f>
        <v>346.48595127348995</v>
      </c>
      <c r="K15" s="684">
        <f>'C.2.3 B'!N14*1.03</f>
        <v>211.7181413447129</v>
      </c>
      <c r="L15" s="684">
        <f>'C.2.3 B'!C14*1.03*1.03</f>
        <v>1911.1158690000002</v>
      </c>
      <c r="M15" s="684">
        <f>'C.2.3 B'!D14*1.03*1.03</f>
        <v>-927.06746499999997</v>
      </c>
      <c r="N15" s="684">
        <f>'C.2.3 B'!E14*1.03*1.03</f>
        <v>-12.274612999999999</v>
      </c>
      <c r="O15" s="581">
        <f t="shared" si="0"/>
        <v>2565.022298327629</v>
      </c>
      <c r="P15" s="82"/>
    </row>
    <row r="16" spans="1:24">
      <c r="A16" s="926">
        <f t="shared" si="1"/>
        <v>4</v>
      </c>
      <c r="B16" s="1" t="s">
        <v>1244</v>
      </c>
      <c r="C16" s="684">
        <f>'C.2.3 B'!F15*1.03</f>
        <v>77.260300000000001</v>
      </c>
      <c r="D16" s="684">
        <f>'C.2.3 B'!G15*1.03</f>
        <v>101.661</v>
      </c>
      <c r="E16" s="684">
        <f>'C.2.3 B'!H15*1.03</f>
        <v>-335.26499999999999</v>
      </c>
      <c r="F16" s="684">
        <f>'C.2.3 B'!I15</f>
        <v>0</v>
      </c>
      <c r="G16" s="684">
        <f>'C.2.3 B'!J15</f>
        <v>0</v>
      </c>
      <c r="H16" s="684">
        <f>'C.2.3 B'!K15</f>
        <v>0</v>
      </c>
      <c r="I16" s="684">
        <f>'C.2.3 B'!L15</f>
        <v>0</v>
      </c>
      <c r="J16" s="684">
        <f>'C.2.3 B'!M15</f>
        <v>0</v>
      </c>
      <c r="K16" s="684">
        <f>'C.2.3 B'!N15</f>
        <v>0</v>
      </c>
      <c r="L16" s="827">
        <f>'C.2.3 B'!C15*1.03</f>
        <v>0</v>
      </c>
      <c r="M16" s="827">
        <f>'C.2.3 B'!M15</f>
        <v>0</v>
      </c>
      <c r="N16" s="827">
        <f>'C.2.3 B'!N15</f>
        <v>0</v>
      </c>
      <c r="O16" s="581">
        <f t="shared" si="0"/>
        <v>-156.34369999999998</v>
      </c>
      <c r="P16" s="771"/>
      <c r="R16" s="1006"/>
    </row>
    <row r="17" spans="1:18">
      <c r="A17" s="926">
        <f t="shared" si="1"/>
        <v>5</v>
      </c>
      <c r="B17" s="1" t="s">
        <v>114</v>
      </c>
      <c r="C17" s="684">
        <f>'[16]FY 2016 Budget'!$I$21/12</f>
        <v>395588</v>
      </c>
      <c r="D17" s="684">
        <f>'[16]FY 2016 Budget'!$I$21/12</f>
        <v>395588</v>
      </c>
      <c r="E17" s="684">
        <f>'[16]FY 2016 Budget'!$I$21/12</f>
        <v>395588</v>
      </c>
      <c r="F17" s="684">
        <f>'[16]FY 2016 Budget'!$I$21/12</f>
        <v>395588</v>
      </c>
      <c r="G17" s="684">
        <f>'[16]FY 2016 Budget'!$I$21/12</f>
        <v>395588</v>
      </c>
      <c r="H17" s="684">
        <f>'[16]FY 2016 Budget'!$I$21/12</f>
        <v>395588</v>
      </c>
      <c r="I17" s="684">
        <f>'[16]FY 2016 Budget'!$I$21/12</f>
        <v>395588</v>
      </c>
      <c r="J17" s="684">
        <f>'[16]FY 2016 Budget'!$I$21/12</f>
        <v>395588</v>
      </c>
      <c r="K17" s="684">
        <f>'[16]FY 2016 Budget'!$I$21/12</f>
        <v>395588</v>
      </c>
      <c r="L17" s="684">
        <f>'[16]FY 2016 Budget'!$I$21/12</f>
        <v>395588</v>
      </c>
      <c r="M17" s="684">
        <f>'[16]FY 2016 Budget'!$I$21/12</f>
        <v>395588</v>
      </c>
      <c r="N17" s="684">
        <f>'[16]FY 2016 Budget'!$I$21/12</f>
        <v>395588</v>
      </c>
      <c r="O17" s="684">
        <f>SUM(C17:N17)</f>
        <v>4747056</v>
      </c>
      <c r="P17" s="821"/>
      <c r="Q17" s="821"/>
      <c r="R17" s="771"/>
    </row>
    <row r="18" spans="1:18">
      <c r="A18" s="1002">
        <f t="shared" si="1"/>
        <v>6</v>
      </c>
      <c r="B18" s="60" t="s">
        <v>1406</v>
      </c>
      <c r="C18" s="684">
        <f>'C.2.3 B'!F17</f>
        <v>0</v>
      </c>
      <c r="D18" s="684">
        <f>'C.2.3 B'!G17</f>
        <v>0</v>
      </c>
      <c r="E18" s="684">
        <f>'C.2.3 B'!H17</f>
        <v>0</v>
      </c>
      <c r="F18" s="684">
        <f>'C.2.3 B'!I17</f>
        <v>0</v>
      </c>
      <c r="G18" s="684">
        <f>'C.2.3 B'!J17</f>
        <v>0</v>
      </c>
      <c r="H18" s="684">
        <f>'C.2.3 B'!K17</f>
        <v>0</v>
      </c>
      <c r="I18" s="684">
        <f>'C.2.3 B'!L17</f>
        <v>0</v>
      </c>
      <c r="J18" s="684">
        <f>'C.2.3 B'!M17</f>
        <v>0</v>
      </c>
      <c r="K18" s="684">
        <f>'C.2.3 B'!N17</f>
        <v>0</v>
      </c>
      <c r="L18" s="684">
        <f>'C.2.3 B'!C17</f>
        <v>0</v>
      </c>
      <c r="M18" s="684">
        <f>'C.2.3 B'!D17</f>
        <v>63869.85</v>
      </c>
      <c r="N18" s="684">
        <f>'C.2.3 B'!E17</f>
        <v>0</v>
      </c>
      <c r="O18" s="581">
        <f t="shared" si="0"/>
        <v>63869.85</v>
      </c>
      <c r="Q18" s="1005"/>
    </row>
    <row r="19" spans="1:18">
      <c r="A19" s="1002">
        <f t="shared" si="1"/>
        <v>7</v>
      </c>
      <c r="B19" s="1" t="s">
        <v>113</v>
      </c>
      <c r="C19" s="684">
        <f>'C.2.3 B'!F18</f>
        <v>0</v>
      </c>
      <c r="D19" s="684">
        <f>'C.2.3 B'!G18</f>
        <v>17414.849999999999</v>
      </c>
      <c r="E19" s="684">
        <f>'C.2.3 B'!H18</f>
        <v>192</v>
      </c>
      <c r="F19" s="684">
        <f>'C.2.3 B'!I18</f>
        <v>76</v>
      </c>
      <c r="G19" s="684">
        <f>'C.2.3 B'!J18</f>
        <v>14234</v>
      </c>
      <c r="H19" s="684">
        <f>'C.2.3 B'!K18</f>
        <v>55</v>
      </c>
      <c r="I19" s="684">
        <f>'C.2.3 B'!L18</f>
        <v>600</v>
      </c>
      <c r="J19" s="684">
        <f>'C.2.3 B'!M18</f>
        <v>25776</v>
      </c>
      <c r="K19" s="684">
        <f>'C.2.3 B'!N18</f>
        <v>227</v>
      </c>
      <c r="L19" s="684">
        <f>'C.2.3 B'!C18</f>
        <v>70.2</v>
      </c>
      <c r="M19" s="684">
        <f>'C.2.3 B'!D18</f>
        <v>50946.46</v>
      </c>
      <c r="N19" s="684">
        <f>'C.2.3 B'!E18</f>
        <v>35.5</v>
      </c>
      <c r="O19" s="581">
        <f t="shared" si="0"/>
        <v>109627.01</v>
      </c>
      <c r="P19" s="771"/>
      <c r="Q19" s="1005"/>
    </row>
    <row r="20" spans="1:18">
      <c r="A20" s="1002">
        <f t="shared" si="1"/>
        <v>8</v>
      </c>
      <c r="B20" s="1" t="s">
        <v>298</v>
      </c>
      <c r="C20" s="684">
        <f>$O20/12</f>
        <v>26424.637504422586</v>
      </c>
      <c r="D20" s="684">
        <f>C20</f>
        <v>26424.637504422586</v>
      </c>
      <c r="E20" s="684">
        <f t="shared" ref="E20" si="2">D20</f>
        <v>26424.637504422586</v>
      </c>
      <c r="F20" s="684">
        <f t="shared" ref="F20" si="3">E20</f>
        <v>26424.637504422586</v>
      </c>
      <c r="G20" s="684">
        <f t="shared" ref="G20" si="4">F20</f>
        <v>26424.637504422586</v>
      </c>
      <c r="H20" s="684">
        <f t="shared" ref="H20" si="5">G20</f>
        <v>26424.637504422586</v>
      </c>
      <c r="I20" s="684">
        <f t="shared" ref="I20" si="6">H20</f>
        <v>26424.637504422586</v>
      </c>
      <c r="J20" s="684">
        <f t="shared" ref="J20" si="7">I20</f>
        <v>26424.637504422586</v>
      </c>
      <c r="K20" s="684">
        <f t="shared" ref="K20" si="8">J20</f>
        <v>26424.637504422586</v>
      </c>
      <c r="L20" s="684">
        <f t="shared" ref="L20" si="9">K20</f>
        <v>26424.637504422586</v>
      </c>
      <c r="M20" s="684">
        <f t="shared" ref="M20" si="10">L20</f>
        <v>26424.637504422586</v>
      </c>
      <c r="N20" s="684">
        <f t="shared" ref="N20" si="11">M20</f>
        <v>26424.637504422586</v>
      </c>
      <c r="O20" s="684">
        <f>-H.1!$E$21*SUM('C.2.2-F 09'!$P$17:$P$28)</f>
        <v>317095.65005307103</v>
      </c>
      <c r="P20" s="1044"/>
      <c r="Q20" s="771"/>
      <c r="R20" s="771"/>
    </row>
    <row r="21" spans="1:18">
      <c r="A21" s="1000">
        <f t="shared" si="1"/>
        <v>9</v>
      </c>
      <c r="B21" s="1" t="s">
        <v>43</v>
      </c>
      <c r="C21" s="581">
        <f>C53</f>
        <v>14261.536232004686</v>
      </c>
      <c r="D21" s="581">
        <f t="shared" ref="D21:N21" si="12">D53</f>
        <v>14543.112783133436</v>
      </c>
      <c r="E21" s="581">
        <f t="shared" si="12"/>
        <v>13294.226049643432</v>
      </c>
      <c r="F21" s="581">
        <f t="shared" si="12"/>
        <v>12896.975292314799</v>
      </c>
      <c r="G21" s="581">
        <f t="shared" si="12"/>
        <v>13765.539129239958</v>
      </c>
      <c r="H21" s="581">
        <f t="shared" si="12"/>
        <v>13765.539129239958</v>
      </c>
      <c r="I21" s="581">
        <f t="shared" si="12"/>
        <v>13765.539129239958</v>
      </c>
      <c r="J21" s="581">
        <f t="shared" si="12"/>
        <v>13765.539129239958</v>
      </c>
      <c r="K21" s="581">
        <f t="shared" si="12"/>
        <v>13765.539129239958</v>
      </c>
      <c r="L21" s="581">
        <f t="shared" si="12"/>
        <v>16682.105941053505</v>
      </c>
      <c r="M21" s="581">
        <f t="shared" si="12"/>
        <v>15202.17086682479</v>
      </c>
      <c r="N21" s="581">
        <f t="shared" si="12"/>
        <v>17948.780824843889</v>
      </c>
      <c r="O21" s="581">
        <f t="shared" si="0"/>
        <v>173656.60363601832</v>
      </c>
      <c r="P21" s="821"/>
      <c r="Q21" s="771"/>
    </row>
    <row r="22" spans="1:18">
      <c r="A22" s="926">
        <f t="shared" si="1"/>
        <v>10</v>
      </c>
      <c r="B22" s="1" t="s">
        <v>1020</v>
      </c>
      <c r="C22" s="581">
        <f>C40</f>
        <v>15573.382982476824</v>
      </c>
      <c r="D22" s="581">
        <f t="shared" ref="D22:N22" si="13">D40</f>
        <v>15890.23039120604</v>
      </c>
      <c r="E22" s="581">
        <f t="shared" si="13"/>
        <v>14515.792963421438</v>
      </c>
      <c r="F22" s="581">
        <f t="shared" si="13"/>
        <v>13267.074728747191</v>
      </c>
      <c r="G22" s="581">
        <f t="shared" si="13"/>
        <v>14234.155186989085</v>
      </c>
      <c r="H22" s="581">
        <f t="shared" si="13"/>
        <v>14234.155186989085</v>
      </c>
      <c r="I22" s="581">
        <f t="shared" si="13"/>
        <v>14234.155186989085</v>
      </c>
      <c r="J22" s="581">
        <f t="shared" si="13"/>
        <v>14234.155186989085</v>
      </c>
      <c r="K22" s="581">
        <f t="shared" si="13"/>
        <v>14234.155186989085</v>
      </c>
      <c r="L22" s="581">
        <f t="shared" si="13"/>
        <v>17504.248497276905</v>
      </c>
      <c r="M22" s="581">
        <f t="shared" si="13"/>
        <v>16224.270154340778</v>
      </c>
      <c r="N22" s="581">
        <f t="shared" si="13"/>
        <v>19003.993967217466</v>
      </c>
      <c r="O22" s="581">
        <f t="shared" si="0"/>
        <v>183149.76961963205</v>
      </c>
      <c r="P22" s="821"/>
      <c r="Q22" s="771"/>
    </row>
    <row r="23" spans="1:18">
      <c r="A23" s="926">
        <f t="shared" si="1"/>
        <v>11</v>
      </c>
      <c r="B23" s="1" t="s">
        <v>1245</v>
      </c>
      <c r="C23" s="581">
        <f>C68</f>
        <v>7009.8522070450899</v>
      </c>
      <c r="D23" s="581">
        <f t="shared" ref="D23:N23" si="14">D68</f>
        <v>7898.2622899225053</v>
      </c>
      <c r="E23" s="581">
        <f t="shared" si="14"/>
        <v>8180.7182755897866</v>
      </c>
      <c r="F23" s="581">
        <f t="shared" si="14"/>
        <v>7547.9845230236442</v>
      </c>
      <c r="G23" s="581">
        <f t="shared" si="14"/>
        <v>8158.3450444956416</v>
      </c>
      <c r="H23" s="581">
        <f t="shared" si="14"/>
        <v>8158.3450444956416</v>
      </c>
      <c r="I23" s="581">
        <f t="shared" si="14"/>
        <v>8158.3450444956416</v>
      </c>
      <c r="J23" s="581">
        <f t="shared" si="14"/>
        <v>8158.3450444956416</v>
      </c>
      <c r="K23" s="581">
        <f t="shared" si="14"/>
        <v>8158.3450444956416</v>
      </c>
      <c r="L23" s="581">
        <f t="shared" si="14"/>
        <v>9546.2236807946865</v>
      </c>
      <c r="M23" s="581">
        <f t="shared" si="14"/>
        <v>7686.9705290985303</v>
      </c>
      <c r="N23" s="581">
        <f t="shared" si="14"/>
        <v>15029.999448602497</v>
      </c>
      <c r="O23" s="581">
        <f t="shared" si="0"/>
        <v>103691.73617655494</v>
      </c>
      <c r="P23" s="821"/>
      <c r="Q23" s="771"/>
    </row>
    <row r="24" spans="1:18">
      <c r="A24" s="1000">
        <f t="shared" si="1"/>
        <v>12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</row>
    <row r="25" spans="1:18">
      <c r="A25" s="926">
        <f t="shared" si="1"/>
        <v>13</v>
      </c>
      <c r="B25" s="1" t="s">
        <v>101</v>
      </c>
      <c r="C25" s="721">
        <f t="shared" ref="C25:N25" si="15">SUM(C13:C24)</f>
        <v>474078.58412594919</v>
      </c>
      <c r="D25" s="721">
        <f t="shared" si="15"/>
        <v>496683.80826868454</v>
      </c>
      <c r="E25" s="721">
        <f t="shared" si="15"/>
        <v>477532.59479307721</v>
      </c>
      <c r="F25" s="721">
        <f t="shared" si="15"/>
        <v>475466.46204850817</v>
      </c>
      <c r="G25" s="721">
        <f t="shared" si="15"/>
        <v>530426.63686514727</v>
      </c>
      <c r="H25" s="721">
        <f t="shared" si="15"/>
        <v>515122.87686514732</v>
      </c>
      <c r="I25" s="721">
        <f t="shared" si="15"/>
        <v>479903.18686514732</v>
      </c>
      <c r="J25" s="721">
        <f t="shared" si="15"/>
        <v>538468.69686514733</v>
      </c>
      <c r="K25" s="721">
        <f t="shared" si="15"/>
        <v>491713.02686514729</v>
      </c>
      <c r="L25" s="721">
        <f t="shared" si="15"/>
        <v>499474.1549545477</v>
      </c>
      <c r="M25" s="721">
        <f t="shared" si="15"/>
        <v>594132.68837168661</v>
      </c>
      <c r="N25" s="721">
        <f t="shared" si="15"/>
        <v>527217.4358050864</v>
      </c>
      <c r="O25" s="721">
        <f>SUM(C25:N25)</f>
        <v>6100220.1526932763</v>
      </c>
      <c r="P25" s="1005"/>
    </row>
    <row r="26" spans="1:18">
      <c r="A26" s="926">
        <f t="shared" si="1"/>
        <v>14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1:18" ht="15.75">
      <c r="A27" s="926">
        <f t="shared" si="1"/>
        <v>15</v>
      </c>
      <c r="B27" s="375" t="s">
        <v>81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8">
      <c r="A28" s="926">
        <f t="shared" si="1"/>
        <v>16</v>
      </c>
      <c r="B28" s="1" t="s">
        <v>294</v>
      </c>
      <c r="C28" s="1156">
        <f>'C.2.3 B'!F27*1.03</f>
        <v>224385.68540000005</v>
      </c>
      <c r="D28" s="1156">
        <f>'C.2.3 B'!G27*1.03</f>
        <v>230545.75490000012</v>
      </c>
      <c r="E28" s="1156">
        <f>'C.2.3 B'!H27*1.03</f>
        <v>204345.17110000001</v>
      </c>
      <c r="F28" s="1156">
        <f>'C.2.3 B'!I27*1.03</f>
        <v>180562.53926843253</v>
      </c>
      <c r="G28" s="1156">
        <f>'C.2.3 B'!J27*1.03</f>
        <v>198877.52493972209</v>
      </c>
      <c r="H28" s="1156">
        <f>'C.2.3 B'!K27*1.03</f>
        <v>198877.52493972209</v>
      </c>
      <c r="I28" s="1156">
        <f>'C.2.3 B'!L27*1.03</f>
        <v>198877.52493972209</v>
      </c>
      <c r="J28" s="1156">
        <f>'C.2.3 B'!M27*1.03</f>
        <v>198877.52493972209</v>
      </c>
      <c r="K28" s="1156">
        <f>'C.2.3 B'!N27*1.03</f>
        <v>198877.52493972209</v>
      </c>
      <c r="L28" s="1156">
        <f>'C.2.3 B'!C27*1.03*1.03</f>
        <v>261049.38247199994</v>
      </c>
      <c r="M28" s="1156">
        <f>'C.2.3 B'!D27*1.03*1.03</f>
        <v>236704.02962500008</v>
      </c>
      <c r="N28" s="1156">
        <f>'C.2.3 B'!E27*1.03*1.03</f>
        <v>289574.73436400021</v>
      </c>
      <c r="O28" s="448">
        <f t="shared" ref="O28:O35" si="16">SUM(C28:N28)</f>
        <v>2621554.9218280436</v>
      </c>
    </row>
    <row r="29" spans="1:18">
      <c r="A29" s="926">
        <f t="shared" si="1"/>
        <v>17</v>
      </c>
      <c r="B29" s="1" t="s">
        <v>295</v>
      </c>
      <c r="C29" s="684">
        <f>'C.2.3 B'!F28*1.03</f>
        <v>175.1309</v>
      </c>
      <c r="D29" s="684">
        <f>'C.2.3 B'!G28*1.03</f>
        <v>182.03190000000001</v>
      </c>
      <c r="E29" s="684">
        <f>'C.2.3 B'!H28*1.03</f>
        <v>160.74179999999996</v>
      </c>
      <c r="F29" s="684">
        <f>'C.2.3 B'!I28*1.03</f>
        <v>117.24882031931503</v>
      </c>
      <c r="G29" s="684">
        <f>'C.2.3 B'!J28*1.03</f>
        <v>129.14171057675333</v>
      </c>
      <c r="H29" s="684">
        <f>'C.2.3 B'!K28*1.03</f>
        <v>129.14171057675333</v>
      </c>
      <c r="I29" s="684">
        <f>'C.2.3 B'!L28*1.03</f>
        <v>129.14171057675333</v>
      </c>
      <c r="J29" s="684">
        <f>'C.2.3 B'!M28*1.03</f>
        <v>129.14171057675333</v>
      </c>
      <c r="K29" s="684">
        <f>'C.2.3 B'!N28*1.03</f>
        <v>129.14171057675333</v>
      </c>
      <c r="L29" s="684">
        <f>'C.2.3 B'!L28*1.03*1.03</f>
        <v>133.01596189405592</v>
      </c>
      <c r="M29" s="684">
        <f>'C.2.3 B'!M28*1.03*1.03</f>
        <v>133.01596189405592</v>
      </c>
      <c r="N29" s="684">
        <f>'C.2.3 B'!N28*1.03*1.03</f>
        <v>133.01596189405592</v>
      </c>
      <c r="O29" s="581">
        <f t="shared" si="16"/>
        <v>1679.9098588852492</v>
      </c>
    </row>
    <row r="30" spans="1:18">
      <c r="A30" s="926">
        <f t="shared" si="1"/>
        <v>18</v>
      </c>
      <c r="B30" s="1" t="s">
        <v>296</v>
      </c>
      <c r="C30" s="684">
        <f>'C.2.3 B'!F29*1.03</f>
        <v>646.93269999999995</v>
      </c>
      <c r="D30" s="684">
        <f>'C.2.3 B'!G29*1.03</f>
        <v>506.44069999999999</v>
      </c>
      <c r="E30" s="684">
        <f>'C.2.3 B'!H29*1.03</f>
        <v>586.33780000000013</v>
      </c>
      <c r="F30" s="684">
        <f>'C.2.3 B'!I29*1.03</f>
        <v>661.68104732578547</v>
      </c>
      <c r="G30" s="684">
        <f>'C.2.3 B'!J29*1.03</f>
        <v>728.79728832370063</v>
      </c>
      <c r="H30" s="684">
        <f>'C.2.3 B'!K29*1.03</f>
        <v>728.79728832370063</v>
      </c>
      <c r="I30" s="684">
        <f>'C.2.3 B'!L29*1.03</f>
        <v>728.79728832370063</v>
      </c>
      <c r="J30" s="684">
        <f>'C.2.3 B'!M29*1.03</f>
        <v>728.79728832370063</v>
      </c>
      <c r="K30" s="684">
        <f>'C.2.3 B'!N29*1.03</f>
        <v>728.79728832370063</v>
      </c>
      <c r="L30" s="684">
        <f>'C.2.3 B'!L29*1.03*1.03</f>
        <v>750.66120697341171</v>
      </c>
      <c r="M30" s="684">
        <f>'C.2.3 B'!M29*1.03*1.03</f>
        <v>750.66120697341171</v>
      </c>
      <c r="N30" s="684">
        <f>'C.2.3 B'!N29*1.03*1.03</f>
        <v>750.66120697341171</v>
      </c>
      <c r="O30" s="581">
        <f t="shared" si="16"/>
        <v>8297.3623098645239</v>
      </c>
    </row>
    <row r="31" spans="1:18">
      <c r="A31" s="926">
        <f t="shared" si="1"/>
        <v>19</v>
      </c>
      <c r="B31" s="1" t="s">
        <v>297</v>
      </c>
      <c r="C31" s="684">
        <f>'[16]FY 2016 Budget'!$I$5/12</f>
        <v>71000</v>
      </c>
      <c r="D31" s="684">
        <f>'[16]FY 2016 Budget'!$I$5/12</f>
        <v>71000</v>
      </c>
      <c r="E31" s="684">
        <f>'[16]FY 2016 Budget'!$I$5/12</f>
        <v>71000</v>
      </c>
      <c r="F31" s="684">
        <f>'[16]FY 2016 Budget'!$I$5/12</f>
        <v>71000</v>
      </c>
      <c r="G31" s="684">
        <f>'[16]FY 2016 Budget'!$I$5/12</f>
        <v>71000</v>
      </c>
      <c r="H31" s="684">
        <f>'[16]FY 2016 Budget'!$I$5/12</f>
        <v>71000</v>
      </c>
      <c r="I31" s="684">
        <f>'[16]FY 2016 Budget'!$I$5/12</f>
        <v>71000</v>
      </c>
      <c r="J31" s="684">
        <f>'[16]FY 2016 Budget'!$I$5/12</f>
        <v>71000</v>
      </c>
      <c r="K31" s="684">
        <f>'[16]FY 2016 Budget'!$I$5/12</f>
        <v>71000</v>
      </c>
      <c r="L31" s="684">
        <f>'[16]FY 2016 Budget'!$I$5/12</f>
        <v>71000</v>
      </c>
      <c r="M31" s="684">
        <f>'[16]FY 2016 Budget'!$I$5/12</f>
        <v>71000</v>
      </c>
      <c r="N31" s="684">
        <f>'[16]FY 2016 Budget'!$I$5/12</f>
        <v>71000</v>
      </c>
      <c r="O31" s="684">
        <f>SUM(C31:N31)</f>
        <v>852000</v>
      </c>
      <c r="P31" s="821"/>
      <c r="Q31" s="821"/>
      <c r="R31" s="771"/>
    </row>
    <row r="32" spans="1:18">
      <c r="A32" s="926">
        <f t="shared" si="1"/>
        <v>20</v>
      </c>
      <c r="B32" s="1" t="s">
        <v>210</v>
      </c>
      <c r="C32" s="684">
        <f>'C.2.3 B'!N31</f>
        <v>0</v>
      </c>
      <c r="D32" s="684">
        <f>C32</f>
        <v>0</v>
      </c>
      <c r="E32" s="684">
        <f t="shared" ref="E32:N32" si="17">D32</f>
        <v>0</v>
      </c>
      <c r="F32" s="684">
        <f t="shared" si="17"/>
        <v>0</v>
      </c>
      <c r="G32" s="684">
        <f t="shared" si="17"/>
        <v>0</v>
      </c>
      <c r="H32" s="684">
        <f t="shared" si="17"/>
        <v>0</v>
      </c>
      <c r="I32" s="684">
        <f t="shared" si="17"/>
        <v>0</v>
      </c>
      <c r="J32" s="684">
        <f t="shared" si="17"/>
        <v>0</v>
      </c>
      <c r="K32" s="684">
        <f t="shared" si="17"/>
        <v>0</v>
      </c>
      <c r="L32" s="684">
        <f t="shared" si="17"/>
        <v>0</v>
      </c>
      <c r="M32" s="684">
        <f t="shared" si="17"/>
        <v>0</v>
      </c>
      <c r="N32" s="684">
        <f t="shared" si="17"/>
        <v>0</v>
      </c>
      <c r="O32" s="581">
        <f t="shared" si="16"/>
        <v>0</v>
      </c>
    </row>
    <row r="33" spans="1:18">
      <c r="A33" s="926">
        <f t="shared" si="1"/>
        <v>21</v>
      </c>
      <c r="B33" s="1" t="s">
        <v>211</v>
      </c>
      <c r="C33" s="684">
        <f>'C.2.3 B'!N32</f>
        <v>0</v>
      </c>
      <c r="D33" s="684">
        <f>C33</f>
        <v>0</v>
      </c>
      <c r="E33" s="684">
        <f t="shared" ref="E33:N33" si="18">D33</f>
        <v>0</v>
      </c>
      <c r="F33" s="684">
        <f t="shared" si="18"/>
        <v>0</v>
      </c>
      <c r="G33" s="684">
        <f t="shared" si="18"/>
        <v>0</v>
      </c>
      <c r="H33" s="684">
        <f t="shared" si="18"/>
        <v>0</v>
      </c>
      <c r="I33" s="684">
        <f t="shared" si="18"/>
        <v>0</v>
      </c>
      <c r="J33" s="684">
        <f t="shared" si="18"/>
        <v>0</v>
      </c>
      <c r="K33" s="684">
        <f t="shared" si="18"/>
        <v>0</v>
      </c>
      <c r="L33" s="684">
        <f t="shared" si="18"/>
        <v>0</v>
      </c>
      <c r="M33" s="684">
        <f t="shared" si="18"/>
        <v>0</v>
      </c>
      <c r="N33" s="684">
        <f t="shared" si="18"/>
        <v>0</v>
      </c>
      <c r="O33" s="581">
        <f t="shared" si="16"/>
        <v>0</v>
      </c>
    </row>
    <row r="34" spans="1:18">
      <c r="A34" s="1000">
        <f t="shared" si="1"/>
        <v>22</v>
      </c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</row>
    <row r="35" spans="1:18">
      <c r="A35" s="926">
        <f t="shared" si="1"/>
        <v>23</v>
      </c>
      <c r="B35" s="1" t="s">
        <v>212</v>
      </c>
      <c r="C35" s="721">
        <f t="shared" ref="C35:N35" si="19">SUM(C28:C34)</f>
        <v>296207.74900000007</v>
      </c>
      <c r="D35" s="721">
        <f t="shared" si="19"/>
        <v>302234.22750000015</v>
      </c>
      <c r="E35" s="721">
        <f t="shared" si="19"/>
        <v>276092.25069999998</v>
      </c>
      <c r="F35" s="721">
        <f t="shared" si="19"/>
        <v>252341.46913607762</v>
      </c>
      <c r="G35" s="721">
        <f t="shared" si="19"/>
        <v>270735.4639386225</v>
      </c>
      <c r="H35" s="721">
        <f t="shared" si="19"/>
        <v>270735.4639386225</v>
      </c>
      <c r="I35" s="721">
        <f t="shared" si="19"/>
        <v>270735.4639386225</v>
      </c>
      <c r="J35" s="721">
        <f t="shared" si="19"/>
        <v>270735.4639386225</v>
      </c>
      <c r="K35" s="721">
        <f t="shared" si="19"/>
        <v>270735.4639386225</v>
      </c>
      <c r="L35" s="721">
        <f t="shared" si="19"/>
        <v>332933.0596408674</v>
      </c>
      <c r="M35" s="721">
        <f t="shared" si="19"/>
        <v>308587.70679386758</v>
      </c>
      <c r="N35" s="721">
        <f t="shared" si="19"/>
        <v>361458.4115328677</v>
      </c>
      <c r="O35" s="721">
        <f t="shared" si="16"/>
        <v>3483532.1939967931</v>
      </c>
    </row>
    <row r="36" spans="1:18">
      <c r="A36" s="926">
        <f t="shared" si="1"/>
        <v>24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7"/>
    </row>
    <row r="37" spans="1:18">
      <c r="A37" s="926">
        <f t="shared" si="1"/>
        <v>25</v>
      </c>
      <c r="B37" s="1" t="s">
        <v>213</v>
      </c>
      <c r="C37" s="411">
        <f>Allocation!C14</f>
        <v>0.1071</v>
      </c>
      <c r="D37" s="411">
        <f>$C$37</f>
        <v>0.1071</v>
      </c>
      <c r="E37" s="411">
        <f t="shared" ref="E37:N37" si="20">$C$37</f>
        <v>0.1071</v>
      </c>
      <c r="F37" s="411">
        <f t="shared" si="20"/>
        <v>0.1071</v>
      </c>
      <c r="G37" s="411">
        <f t="shared" si="20"/>
        <v>0.1071</v>
      </c>
      <c r="H37" s="411">
        <f t="shared" si="20"/>
        <v>0.1071</v>
      </c>
      <c r="I37" s="411">
        <f t="shared" si="20"/>
        <v>0.1071</v>
      </c>
      <c r="J37" s="411">
        <f t="shared" si="20"/>
        <v>0.1071</v>
      </c>
      <c r="K37" s="411">
        <f t="shared" si="20"/>
        <v>0.1071</v>
      </c>
      <c r="L37" s="411">
        <f t="shared" si="20"/>
        <v>0.1071</v>
      </c>
      <c r="M37" s="411">
        <f t="shared" si="20"/>
        <v>0.1071</v>
      </c>
      <c r="N37" s="411">
        <f t="shared" si="20"/>
        <v>0.1071</v>
      </c>
      <c r="O37" s="107"/>
    </row>
    <row r="38" spans="1:18">
      <c r="A38" s="926">
        <f t="shared" si="1"/>
        <v>26</v>
      </c>
      <c r="B38" s="1" t="s">
        <v>214</v>
      </c>
      <c r="C38" s="759">
        <f>Allocation!D14</f>
        <v>0.49090457251500325</v>
      </c>
      <c r="D38" s="759">
        <f>$C$38</f>
        <v>0.49090457251500325</v>
      </c>
      <c r="E38" s="759">
        <f t="shared" ref="E38:N38" si="21">$C$38</f>
        <v>0.49090457251500325</v>
      </c>
      <c r="F38" s="759">
        <f t="shared" si="21"/>
        <v>0.49090457251500325</v>
      </c>
      <c r="G38" s="759">
        <f t="shared" si="21"/>
        <v>0.49090457251500325</v>
      </c>
      <c r="H38" s="759">
        <f t="shared" si="21"/>
        <v>0.49090457251500325</v>
      </c>
      <c r="I38" s="759">
        <f t="shared" si="21"/>
        <v>0.49090457251500325</v>
      </c>
      <c r="J38" s="759">
        <f t="shared" si="21"/>
        <v>0.49090457251500325</v>
      </c>
      <c r="K38" s="759">
        <f t="shared" si="21"/>
        <v>0.49090457251500325</v>
      </c>
      <c r="L38" s="759">
        <f t="shared" si="21"/>
        <v>0.49090457251500325</v>
      </c>
      <c r="M38" s="759">
        <f t="shared" si="21"/>
        <v>0.49090457251500325</v>
      </c>
      <c r="N38" s="759">
        <f t="shared" si="21"/>
        <v>0.49090457251500325</v>
      </c>
      <c r="O38" s="107"/>
    </row>
    <row r="39" spans="1:18">
      <c r="A39" s="926">
        <f t="shared" si="1"/>
        <v>27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8">
      <c r="A40" s="926">
        <f t="shared" si="1"/>
        <v>28</v>
      </c>
      <c r="B40" s="1" t="s">
        <v>1409</v>
      </c>
      <c r="C40" s="1157">
        <f t="shared" ref="C40:N40" si="22">C35*C37*C38</f>
        <v>15573.382982476824</v>
      </c>
      <c r="D40" s="1157">
        <f t="shared" si="22"/>
        <v>15890.23039120604</v>
      </c>
      <c r="E40" s="1157">
        <f t="shared" si="22"/>
        <v>14515.792963421438</v>
      </c>
      <c r="F40" s="1157">
        <f t="shared" si="22"/>
        <v>13267.074728747191</v>
      </c>
      <c r="G40" s="1157">
        <f t="shared" si="22"/>
        <v>14234.155186989085</v>
      </c>
      <c r="H40" s="1157">
        <f t="shared" si="22"/>
        <v>14234.155186989085</v>
      </c>
      <c r="I40" s="1157">
        <f t="shared" si="22"/>
        <v>14234.155186989085</v>
      </c>
      <c r="J40" s="1157">
        <f t="shared" si="22"/>
        <v>14234.155186989085</v>
      </c>
      <c r="K40" s="1157">
        <f t="shared" si="22"/>
        <v>14234.155186989085</v>
      </c>
      <c r="L40" s="1157">
        <f t="shared" si="22"/>
        <v>17504.248497276905</v>
      </c>
      <c r="M40" s="1157">
        <f t="shared" si="22"/>
        <v>16224.270154340778</v>
      </c>
      <c r="N40" s="1157">
        <f t="shared" si="22"/>
        <v>19003.993967217466</v>
      </c>
      <c r="O40" s="721">
        <f>SUM(C40:N40)</f>
        <v>183149.76961963205</v>
      </c>
    </row>
    <row r="41" spans="1:18">
      <c r="A41" s="926">
        <f t="shared" si="1"/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</row>
    <row r="42" spans="1:18" ht="15.75">
      <c r="A42" s="926">
        <f t="shared" si="1"/>
        <v>30</v>
      </c>
      <c r="B42" s="375" t="s">
        <v>82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</row>
    <row r="43" spans="1:18">
      <c r="A43" s="926">
        <f t="shared" si="1"/>
        <v>31</v>
      </c>
      <c r="B43" s="1" t="s">
        <v>294</v>
      </c>
      <c r="C43" s="1156">
        <f>'C.2.3 B'!F42*1.03</f>
        <v>193959.79440000001</v>
      </c>
      <c r="D43" s="1156">
        <f>'C.2.3 B'!G42*1.03</f>
        <v>199001.58259999999</v>
      </c>
      <c r="E43" s="1156">
        <f>'C.2.3 B'!H42*1.03</f>
        <v>177084.05809999999</v>
      </c>
      <c r="F43" s="1156">
        <f>'C.2.3 B'!I42*1.03</f>
        <v>170041.37244728749</v>
      </c>
      <c r="G43" s="1156">
        <f>'C.2.3 B'!J42*1.03</f>
        <v>185181.11740837662</v>
      </c>
      <c r="H43" s="1156">
        <f>'C.2.3 B'!K42*1.03</f>
        <v>185181.11740837662</v>
      </c>
      <c r="I43" s="1156">
        <f>'C.2.3 B'!L42*1.03</f>
        <v>185181.11740837662</v>
      </c>
      <c r="J43" s="1156">
        <f>'C.2.3 B'!M42*1.03</f>
        <v>185181.11740837662</v>
      </c>
      <c r="K43" s="1156">
        <f>'C.2.3 B'!N42*1.03</f>
        <v>185181.11740837662</v>
      </c>
      <c r="L43" s="1156">
        <f>'C.2.3 B'!C42*1.03*1.03</f>
        <v>233593.38595299999</v>
      </c>
      <c r="M43" s="1156">
        <f>'C.2.3 B'!D42*1.03*1.03</f>
        <v>211969.31586900001</v>
      </c>
      <c r="N43" s="1156">
        <f>'C.2.3 B'!E42*1.03*1.03</f>
        <v>258243.81120400006</v>
      </c>
      <c r="O43" s="448">
        <f t="shared" ref="O43:O48" si="23">SUM(C43:N43)</f>
        <v>2369798.9076151708</v>
      </c>
      <c r="P43" s="771"/>
    </row>
    <row r="44" spans="1:18">
      <c r="A44" s="926">
        <f t="shared" si="1"/>
        <v>32</v>
      </c>
      <c r="B44" s="1" t="s">
        <v>295</v>
      </c>
      <c r="C44" s="1156">
        <f>'C.2.3 B'!F43*1.03</f>
        <v>149.86500000000001</v>
      </c>
      <c r="D44" s="1156">
        <f>'C.2.3 B'!G43*1.03</f>
        <v>156.8793</v>
      </c>
      <c r="E44" s="1156">
        <f>'C.2.3 B'!H43*1.03</f>
        <v>139.48259999999999</v>
      </c>
      <c r="F44" s="1156">
        <f>'C.2.3 B'!I43*1.03</f>
        <v>110.00975172400804</v>
      </c>
      <c r="G44" s="1156">
        <f>'C.2.3 B'!J43*1.03</f>
        <v>119.80454201747341</v>
      </c>
      <c r="H44" s="1156">
        <f>'C.2.3 B'!K43*1.03</f>
        <v>119.80454201747341</v>
      </c>
      <c r="I44" s="1156">
        <f>'C.2.3 B'!L43*1.03</f>
        <v>119.80454201747341</v>
      </c>
      <c r="J44" s="1156">
        <f>'C.2.3 B'!M43*1.03</f>
        <v>119.80454201747341</v>
      </c>
      <c r="K44" s="1156">
        <f>'C.2.3 B'!N43*1.03</f>
        <v>119.80454201747341</v>
      </c>
      <c r="L44" s="1156">
        <f>'C.2.3 B'!C43*1.03*1.03</f>
        <v>280.68231300000014</v>
      </c>
      <c r="M44" s="1156">
        <f>'C.2.3 B'!D43*1.03*1.03</f>
        <v>-282.7404590000001</v>
      </c>
      <c r="N44" s="1156">
        <f>'C.2.3 B'!E43*1.03*1.03</f>
        <v>377.63796400000001</v>
      </c>
      <c r="O44" s="581">
        <f t="shared" si="23"/>
        <v>1530.8391798113753</v>
      </c>
    </row>
    <row r="45" spans="1:18">
      <c r="A45" s="926">
        <f t="shared" si="1"/>
        <v>33</v>
      </c>
      <c r="B45" s="1" t="s">
        <v>296</v>
      </c>
      <c r="C45" s="1156">
        <f>'C.2.3 B'!F44*1.03</f>
        <v>556.03520000000003</v>
      </c>
      <c r="D45" s="1156">
        <f>'C.2.3 B'!G44*1.03</f>
        <v>436.57580000000002</v>
      </c>
      <c r="E45" s="1156">
        <f>'C.2.3 B'!H44*1.03</f>
        <v>508.20200000000006</v>
      </c>
      <c r="F45" s="1156">
        <f>'C.2.3 B'!I44*1.03</f>
        <v>625.99845713958996</v>
      </c>
      <c r="G45" s="1156">
        <f>'C.2.3 B'!J44*1.03</f>
        <v>681.73463975636275</v>
      </c>
      <c r="H45" s="1156">
        <f>'C.2.3 B'!K44*1.03</f>
        <v>681.73463975636275</v>
      </c>
      <c r="I45" s="1156">
        <f>'C.2.3 B'!L44*1.03</f>
        <v>681.73463975636275</v>
      </c>
      <c r="J45" s="1156">
        <f>'C.2.3 B'!M44*1.03</f>
        <v>681.73463975636275</v>
      </c>
      <c r="K45" s="1156">
        <f>'C.2.3 B'!N44*1.03</f>
        <v>681.73463975636275</v>
      </c>
      <c r="L45" s="1156">
        <f>'C.2.3 B'!C44*1.03*1.03</f>
        <v>3166.6698009999996</v>
      </c>
      <c r="M45" s="1156">
        <f>'C.2.3 B'!D44*1.03*1.03</f>
        <v>-553.91710800000033</v>
      </c>
      <c r="N45" s="1156">
        <f>'C.2.3 B'!E44*1.03*1.03</f>
        <v>593.98730100000012</v>
      </c>
      <c r="O45" s="581">
        <f t="shared" si="23"/>
        <v>8742.2246499214016</v>
      </c>
    </row>
    <row r="46" spans="1:18">
      <c r="A46" s="926">
        <f t="shared" si="1"/>
        <v>34</v>
      </c>
      <c r="B46" s="1" t="s">
        <v>297</v>
      </c>
      <c r="C46" s="684">
        <f>'[16]FY 2016 Budget'!$I$6/12</f>
        <v>55000</v>
      </c>
      <c r="D46" s="684">
        <f>C46</f>
        <v>55000</v>
      </c>
      <c r="E46" s="684">
        <f t="shared" ref="E46:N46" si="24">D46</f>
        <v>55000</v>
      </c>
      <c r="F46" s="684">
        <f t="shared" si="24"/>
        <v>55000</v>
      </c>
      <c r="G46" s="684">
        <f t="shared" si="24"/>
        <v>55000</v>
      </c>
      <c r="H46" s="684">
        <f t="shared" si="24"/>
        <v>55000</v>
      </c>
      <c r="I46" s="684">
        <f t="shared" si="24"/>
        <v>55000</v>
      </c>
      <c r="J46" s="684">
        <f t="shared" si="24"/>
        <v>55000</v>
      </c>
      <c r="K46" s="684">
        <f t="shared" si="24"/>
        <v>55000</v>
      </c>
      <c r="L46" s="684">
        <f t="shared" si="24"/>
        <v>55000</v>
      </c>
      <c r="M46" s="684">
        <f t="shared" si="24"/>
        <v>55000</v>
      </c>
      <c r="N46" s="684">
        <f t="shared" si="24"/>
        <v>55000</v>
      </c>
      <c r="O46" s="684">
        <f>SUM(C46:N46)</f>
        <v>660000</v>
      </c>
      <c r="P46" s="821"/>
      <c r="Q46" s="821"/>
      <c r="R46" s="771"/>
    </row>
    <row r="47" spans="1:18">
      <c r="A47" s="926">
        <f t="shared" si="1"/>
        <v>35</v>
      </c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</row>
    <row r="48" spans="1:18">
      <c r="A48" s="926">
        <f t="shared" si="1"/>
        <v>36</v>
      </c>
      <c r="B48" s="1" t="s">
        <v>212</v>
      </c>
      <c r="C48" s="721">
        <f t="shared" ref="C48:N48" si="25">SUM(C43:C46)</f>
        <v>249665.69460000002</v>
      </c>
      <c r="D48" s="721">
        <f t="shared" si="25"/>
        <v>254595.03769999999</v>
      </c>
      <c r="E48" s="721">
        <f t="shared" si="25"/>
        <v>232731.74269999997</v>
      </c>
      <c r="F48" s="721">
        <f t="shared" si="25"/>
        <v>225777.3806561511</v>
      </c>
      <c r="G48" s="721">
        <f t="shared" si="25"/>
        <v>240982.65659015044</v>
      </c>
      <c r="H48" s="721">
        <f t="shared" si="25"/>
        <v>240982.65659015044</v>
      </c>
      <c r="I48" s="721">
        <f t="shared" si="25"/>
        <v>240982.65659015044</v>
      </c>
      <c r="J48" s="721">
        <f t="shared" si="25"/>
        <v>240982.65659015044</v>
      </c>
      <c r="K48" s="721">
        <f t="shared" si="25"/>
        <v>240982.65659015044</v>
      </c>
      <c r="L48" s="721">
        <f t="shared" si="25"/>
        <v>292040.738067</v>
      </c>
      <c r="M48" s="721">
        <f t="shared" si="25"/>
        <v>266132.65830200003</v>
      </c>
      <c r="N48" s="721">
        <f t="shared" si="25"/>
        <v>314215.43646900007</v>
      </c>
      <c r="O48" s="721">
        <f t="shared" si="23"/>
        <v>3040071.9714449029</v>
      </c>
    </row>
    <row r="49" spans="1:18">
      <c r="A49" s="926">
        <f t="shared" si="1"/>
        <v>37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</row>
    <row r="50" spans="1:18">
      <c r="A50" s="926">
        <f t="shared" si="1"/>
        <v>38</v>
      </c>
      <c r="B50" s="1" t="s">
        <v>213</v>
      </c>
      <c r="C50" s="759">
        <f>Allocation!C15</f>
        <v>0.1086</v>
      </c>
      <c r="D50" s="759">
        <f>$C$50</f>
        <v>0.1086</v>
      </c>
      <c r="E50" s="759">
        <f t="shared" ref="E50:N50" si="26">$C$50</f>
        <v>0.1086</v>
      </c>
      <c r="F50" s="759">
        <f t="shared" si="26"/>
        <v>0.1086</v>
      </c>
      <c r="G50" s="759">
        <f t="shared" si="26"/>
        <v>0.1086</v>
      </c>
      <c r="H50" s="759">
        <f t="shared" si="26"/>
        <v>0.1086</v>
      </c>
      <c r="I50" s="759">
        <f t="shared" si="26"/>
        <v>0.1086</v>
      </c>
      <c r="J50" s="759">
        <f t="shared" si="26"/>
        <v>0.1086</v>
      </c>
      <c r="K50" s="759">
        <f t="shared" si="26"/>
        <v>0.1086</v>
      </c>
      <c r="L50" s="759">
        <f t="shared" si="26"/>
        <v>0.1086</v>
      </c>
      <c r="M50" s="759">
        <f t="shared" si="26"/>
        <v>0.1086</v>
      </c>
      <c r="N50" s="759">
        <f t="shared" si="26"/>
        <v>0.1086</v>
      </c>
      <c r="O50" s="107"/>
    </row>
    <row r="51" spans="1:18">
      <c r="A51" s="926">
        <f t="shared" si="1"/>
        <v>39</v>
      </c>
      <c r="B51" s="1" t="s">
        <v>214</v>
      </c>
      <c r="C51" s="759">
        <f>Allocation!D15</f>
        <v>0.52599015110063552</v>
      </c>
      <c r="D51" s="759">
        <f>$C$51</f>
        <v>0.52599015110063552</v>
      </c>
      <c r="E51" s="759">
        <f t="shared" ref="E51:N51" si="27">$C$51</f>
        <v>0.52599015110063552</v>
      </c>
      <c r="F51" s="759">
        <f t="shared" si="27"/>
        <v>0.52599015110063552</v>
      </c>
      <c r="G51" s="759">
        <f t="shared" si="27"/>
        <v>0.52599015110063552</v>
      </c>
      <c r="H51" s="759">
        <f t="shared" si="27"/>
        <v>0.52599015110063552</v>
      </c>
      <c r="I51" s="759">
        <f t="shared" si="27"/>
        <v>0.52599015110063552</v>
      </c>
      <c r="J51" s="759">
        <f t="shared" si="27"/>
        <v>0.52599015110063552</v>
      </c>
      <c r="K51" s="759">
        <f t="shared" si="27"/>
        <v>0.52599015110063552</v>
      </c>
      <c r="L51" s="759">
        <f t="shared" si="27"/>
        <v>0.52599015110063552</v>
      </c>
      <c r="M51" s="759">
        <f t="shared" si="27"/>
        <v>0.52599015110063552</v>
      </c>
      <c r="N51" s="759">
        <f t="shared" si="27"/>
        <v>0.52599015110063552</v>
      </c>
      <c r="O51" s="107"/>
    </row>
    <row r="52" spans="1:18">
      <c r="A52" s="926">
        <f t="shared" si="1"/>
        <v>40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8">
      <c r="A53" s="926">
        <f t="shared" si="1"/>
        <v>41</v>
      </c>
      <c r="B53" s="1" t="s">
        <v>1408</v>
      </c>
      <c r="C53" s="1157">
        <f t="shared" ref="C53:N53" si="28">C48*C50*C51</f>
        <v>14261.536232004686</v>
      </c>
      <c r="D53" s="1157">
        <f t="shared" si="28"/>
        <v>14543.112783133436</v>
      </c>
      <c r="E53" s="1157">
        <f t="shared" si="28"/>
        <v>13294.226049643432</v>
      </c>
      <c r="F53" s="1157">
        <f t="shared" si="28"/>
        <v>12896.975292314799</v>
      </c>
      <c r="G53" s="1157">
        <f t="shared" si="28"/>
        <v>13765.539129239958</v>
      </c>
      <c r="H53" s="1157">
        <f t="shared" si="28"/>
        <v>13765.539129239958</v>
      </c>
      <c r="I53" s="1157">
        <f t="shared" si="28"/>
        <v>13765.539129239958</v>
      </c>
      <c r="J53" s="1157">
        <f t="shared" si="28"/>
        <v>13765.539129239958</v>
      </c>
      <c r="K53" s="1157">
        <f t="shared" si="28"/>
        <v>13765.539129239958</v>
      </c>
      <c r="L53" s="1157">
        <f t="shared" si="28"/>
        <v>16682.105941053505</v>
      </c>
      <c r="M53" s="1157">
        <f t="shared" si="28"/>
        <v>15202.17086682479</v>
      </c>
      <c r="N53" s="1157">
        <f t="shared" si="28"/>
        <v>17948.780824843889</v>
      </c>
      <c r="O53" s="721">
        <f>SUM(C53:N53)</f>
        <v>173656.60363601832</v>
      </c>
    </row>
    <row r="54" spans="1:18">
      <c r="A54" s="926">
        <f t="shared" si="1"/>
        <v>42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</row>
    <row r="55" spans="1:18" ht="15.75">
      <c r="A55" s="926">
        <f t="shared" si="1"/>
        <v>43</v>
      </c>
      <c r="B55" s="375" t="s">
        <v>83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</row>
    <row r="56" spans="1:18">
      <c r="A56" s="926">
        <f t="shared" si="1"/>
        <v>44</v>
      </c>
      <c r="B56" s="1" t="s">
        <v>294</v>
      </c>
      <c r="C56" s="1156">
        <f>'C.2.3 B'!F55*1.03</f>
        <v>6757.6240000000025</v>
      </c>
      <c r="D56" s="1156">
        <f>'C.2.3 B'!G55*1.03</f>
        <v>8575.4812999999976</v>
      </c>
      <c r="E56" s="1156">
        <f>'C.2.3 B'!H55*1.03</f>
        <v>9067.2857000000004</v>
      </c>
      <c r="F56" s="1156">
        <f>'C.2.3 B'!I55*1.03</f>
        <v>7851.5352855406281</v>
      </c>
      <c r="G56" s="1156">
        <f>'C.2.3 B'!J55*1.03</f>
        <v>9091.0642512399008</v>
      </c>
      <c r="H56" s="1156">
        <f>'C.2.3 B'!K55*1.03</f>
        <v>9091.0642512399008</v>
      </c>
      <c r="I56" s="1156">
        <f>'C.2.3 B'!L55*1.03</f>
        <v>9091.0642512399008</v>
      </c>
      <c r="J56" s="1156">
        <f>'C.2.3 B'!M55*1.03</f>
        <v>9091.0642512399008</v>
      </c>
      <c r="K56" s="1156">
        <f>'C.2.3 B'!N55*1.03</f>
        <v>9091.0642512399008</v>
      </c>
      <c r="L56" s="1156">
        <f>'C.2.3 B'!C55*1.03*1.03</f>
        <v>11243.396982000002</v>
      </c>
      <c r="M56" s="1156">
        <f>'C.2.3 B'!D55*1.03*1.03</f>
        <v>8472.6020160000007</v>
      </c>
      <c r="N56" s="1156">
        <f>'C.2.3 B'!E55*1.03*1.03</f>
        <v>23093.268058000009</v>
      </c>
      <c r="O56" s="448">
        <f t="shared" ref="O56:O63" si="29">SUM(C56:N56)</f>
        <v>120516.51459774014</v>
      </c>
    </row>
    <row r="57" spans="1:18">
      <c r="A57" s="926">
        <f t="shared" si="1"/>
        <v>45</v>
      </c>
      <c r="B57" s="1" t="s">
        <v>295</v>
      </c>
      <c r="C57" s="1156">
        <f>'C.2.3 B'!F56*1.03</f>
        <v>5.2015000000000002</v>
      </c>
      <c r="D57" s="1156">
        <f>'C.2.3 B'!G56*1.03</f>
        <v>0.99909999999999999</v>
      </c>
      <c r="E57" s="1156">
        <f>'C.2.3 B'!H56*1.03</f>
        <v>0.47380000000000017</v>
      </c>
      <c r="F57" s="1156">
        <f>'C.2.3 B'!I56*1.03</f>
        <v>-15.938086234657714</v>
      </c>
      <c r="G57" s="1156">
        <f>'C.2.3 B'!J56*1.03</f>
        <v>-18.454246301091242</v>
      </c>
      <c r="H57" s="1156">
        <f>'C.2.3 B'!K56*1.03</f>
        <v>-18.454246301091242</v>
      </c>
      <c r="I57" s="1156">
        <f>'C.2.3 B'!L56*1.03</f>
        <v>-18.454246301091242</v>
      </c>
      <c r="J57" s="1156">
        <f>'C.2.3 B'!M56*1.03</f>
        <v>-18.454246301091242</v>
      </c>
      <c r="K57" s="1156">
        <f>'C.2.3 B'!N56*1.03</f>
        <v>-18.454246301091242</v>
      </c>
      <c r="L57" s="1156">
        <f>'C.2.3 B'!C56*1.03*1.03</f>
        <v>-117.01727000000001</v>
      </c>
      <c r="M57" s="1156">
        <f>'C.2.3 B'!D56*1.03*1.03</f>
        <v>-31.93309</v>
      </c>
      <c r="N57" s="1156">
        <f>'C.2.3 B'!E56*1.03*1.03</f>
        <v>4.1587280000000018</v>
      </c>
      <c r="O57" s="581">
        <f t="shared" si="29"/>
        <v>-246.32654974011393</v>
      </c>
    </row>
    <row r="58" spans="1:18">
      <c r="A58" s="926">
        <f t="shared" si="1"/>
        <v>46</v>
      </c>
      <c r="B58" s="1" t="s">
        <v>296</v>
      </c>
      <c r="C58" s="1156">
        <f>'C.2.3 B'!F57*1.03</f>
        <v>12.565999999999999</v>
      </c>
      <c r="D58" s="1156">
        <f>'C.2.3 B'!G57*1.03</f>
        <v>4.5835000000000008</v>
      </c>
      <c r="E58" s="1156">
        <f>'C.2.3 B'!H57*1.03</f>
        <v>3.2960000000000003</v>
      </c>
      <c r="F58" s="1156">
        <f>'C.2.3 B'!I57*1.03</f>
        <v>40.068348793929466</v>
      </c>
      <c r="G58" s="1156">
        <f>'C.2.3 B'!J57*1.03</f>
        <v>46.393975200943352</v>
      </c>
      <c r="H58" s="1156">
        <f>'C.2.3 B'!K57*1.03</f>
        <v>46.393975200943352</v>
      </c>
      <c r="I58" s="1156">
        <f>'C.2.3 B'!L57*1.03</f>
        <v>46.393975200943352</v>
      </c>
      <c r="J58" s="1156">
        <f>'C.2.3 B'!M57*1.03</f>
        <v>46.393975200943352</v>
      </c>
      <c r="K58" s="1156">
        <f>'C.2.3 B'!N57*1.03</f>
        <v>46.393975200943352</v>
      </c>
      <c r="L58" s="1156">
        <f>'C.2.3 B'!C57*1.03*1.03</f>
        <v>671.79370699999993</v>
      </c>
      <c r="M58" s="1156">
        <f>'C.2.3 B'!D57*1.03*1.03</f>
        <v>-340.5170730000001</v>
      </c>
      <c r="N58" s="1156">
        <f>'C.2.3 B'!E57*1.03*1.03</f>
        <v>-5.6121609999999995</v>
      </c>
      <c r="O58" s="581">
        <f t="shared" si="29"/>
        <v>618.14819779864604</v>
      </c>
    </row>
    <row r="59" spans="1:18">
      <c r="A59" s="926">
        <f t="shared" si="1"/>
        <v>47</v>
      </c>
      <c r="B59" t="s">
        <v>1244</v>
      </c>
      <c r="C59" s="1156">
        <f>'C.2.3 B'!F58*1.03</f>
        <v>4.0685000000000002</v>
      </c>
      <c r="D59" s="1156">
        <f>'C.2.3 B'!G58*1.03</f>
        <v>8.1370000000000005</v>
      </c>
      <c r="E59" s="1156">
        <f>'C.2.3 B'!H58*1.03</f>
        <v>93.524000000000001</v>
      </c>
      <c r="F59" s="1156">
        <f>'C.2.3 B'!I58*1.03</f>
        <v>0</v>
      </c>
      <c r="G59" s="1156">
        <f>'C.2.3 B'!J58*1.03</f>
        <v>0</v>
      </c>
      <c r="H59" s="1156">
        <f>'C.2.3 B'!K58*1.03</f>
        <v>0</v>
      </c>
      <c r="I59" s="1156">
        <f>'C.2.3 B'!L58*1.03</f>
        <v>0</v>
      </c>
      <c r="J59" s="1156">
        <f>'C.2.3 B'!M58*1.03</f>
        <v>0</v>
      </c>
      <c r="K59" s="1156">
        <f>'C.2.3 B'!N58*1.03</f>
        <v>0</v>
      </c>
      <c r="L59" s="1156">
        <f>'C.2.3 B'!C58*1.03*1.03</f>
        <v>148.01676800000001</v>
      </c>
      <c r="M59" s="1156">
        <f>'C.2.3 B'!D58*1.03*1.03</f>
        <v>58.635943000000012</v>
      </c>
      <c r="N59" s="1156">
        <f>'C.2.3 B'!E58*1.03*1.03</f>
        <v>25.132721</v>
      </c>
      <c r="O59" s="581">
        <f t="shared" si="29"/>
        <v>337.51493200000004</v>
      </c>
    </row>
    <row r="60" spans="1:18">
      <c r="A60" s="926">
        <f t="shared" si="1"/>
        <v>48</v>
      </c>
      <c r="B60" s="1" t="s">
        <v>297</v>
      </c>
      <c r="C60" s="684">
        <f>'[16]FY 2016 Budget'!$I$25/12</f>
        <v>7500</v>
      </c>
      <c r="D60" s="684">
        <f>C60</f>
        <v>7500</v>
      </c>
      <c r="E60" s="684">
        <f t="shared" ref="E60:N60" si="30">D60</f>
        <v>7500</v>
      </c>
      <c r="F60" s="684">
        <f t="shared" si="30"/>
        <v>7500</v>
      </c>
      <c r="G60" s="684">
        <f t="shared" si="30"/>
        <v>7500</v>
      </c>
      <c r="H60" s="684">
        <f t="shared" si="30"/>
        <v>7500</v>
      </c>
      <c r="I60" s="684">
        <f t="shared" si="30"/>
        <v>7500</v>
      </c>
      <c r="J60" s="684">
        <f t="shared" si="30"/>
        <v>7500</v>
      </c>
      <c r="K60" s="684">
        <f t="shared" si="30"/>
        <v>7500</v>
      </c>
      <c r="L60" s="684">
        <f t="shared" si="30"/>
        <v>7500</v>
      </c>
      <c r="M60" s="684">
        <f t="shared" si="30"/>
        <v>7500</v>
      </c>
      <c r="N60" s="684">
        <f t="shared" si="30"/>
        <v>7500</v>
      </c>
      <c r="O60" s="684">
        <f>SUM(C60:N60)</f>
        <v>90000</v>
      </c>
      <c r="P60" s="821"/>
      <c r="Q60" s="821"/>
      <c r="R60" s="771"/>
    </row>
    <row r="61" spans="1:18">
      <c r="A61" s="1002">
        <f t="shared" si="1"/>
        <v>49</v>
      </c>
      <c r="B61" s="119" t="s">
        <v>1405</v>
      </c>
      <c r="C61" s="684">
        <f>'C.2.3 B'!N60</f>
        <v>0</v>
      </c>
      <c r="D61" s="684">
        <f>C61</f>
        <v>0</v>
      </c>
      <c r="E61" s="684">
        <f t="shared" ref="E61:N61" si="31">D61</f>
        <v>0</v>
      </c>
      <c r="F61" s="684">
        <f t="shared" si="31"/>
        <v>0</v>
      </c>
      <c r="G61" s="684">
        <f t="shared" si="31"/>
        <v>0</v>
      </c>
      <c r="H61" s="684">
        <f t="shared" si="31"/>
        <v>0</v>
      </c>
      <c r="I61" s="684">
        <f t="shared" si="31"/>
        <v>0</v>
      </c>
      <c r="J61" s="684">
        <f t="shared" si="31"/>
        <v>0</v>
      </c>
      <c r="K61" s="684">
        <f t="shared" si="31"/>
        <v>0</v>
      </c>
      <c r="L61" s="684">
        <f t="shared" si="31"/>
        <v>0</v>
      </c>
      <c r="M61" s="684">
        <f t="shared" si="31"/>
        <v>0</v>
      </c>
      <c r="N61" s="684">
        <f t="shared" si="31"/>
        <v>0</v>
      </c>
      <c r="O61" s="581">
        <f t="shared" si="29"/>
        <v>0</v>
      </c>
      <c r="P61" s="1005"/>
    </row>
    <row r="62" spans="1:18">
      <c r="A62" s="1002">
        <f t="shared" si="1"/>
        <v>50</v>
      </c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</row>
    <row r="63" spans="1:18">
      <c r="A63" s="926">
        <f t="shared" si="1"/>
        <v>51</v>
      </c>
      <c r="B63" s="1" t="s">
        <v>212</v>
      </c>
      <c r="C63" s="721">
        <f t="shared" ref="C63:N63" si="32">SUM(C56:C62)</f>
        <v>14279.460000000003</v>
      </c>
      <c r="D63" s="721">
        <f t="shared" si="32"/>
        <v>16089.2009</v>
      </c>
      <c r="E63" s="721">
        <f t="shared" si="32"/>
        <v>16664.5795</v>
      </c>
      <c r="F63" s="721">
        <f t="shared" si="32"/>
        <v>15375.6655480999</v>
      </c>
      <c r="G63" s="721">
        <f t="shared" si="32"/>
        <v>16619.003980139751</v>
      </c>
      <c r="H63" s="721">
        <f t="shared" si="32"/>
        <v>16619.003980139751</v>
      </c>
      <c r="I63" s="721">
        <f t="shared" si="32"/>
        <v>16619.003980139751</v>
      </c>
      <c r="J63" s="721">
        <f t="shared" si="32"/>
        <v>16619.003980139751</v>
      </c>
      <c r="K63" s="721">
        <f t="shared" si="32"/>
        <v>16619.003980139751</v>
      </c>
      <c r="L63" s="721">
        <f t="shared" si="32"/>
        <v>19446.190187</v>
      </c>
      <c r="M63" s="721">
        <f t="shared" si="32"/>
        <v>15658.787796000001</v>
      </c>
      <c r="N63" s="721">
        <f t="shared" si="32"/>
        <v>30616.947346000008</v>
      </c>
      <c r="O63" s="721">
        <f t="shared" si="29"/>
        <v>211225.85117779864</v>
      </c>
    </row>
    <row r="64" spans="1:18">
      <c r="A64" s="926">
        <f t="shared" si="1"/>
        <v>52</v>
      </c>
      <c r="C64" s="107"/>
      <c r="D64" s="107"/>
      <c r="E64" s="107"/>
      <c r="F64" s="107"/>
      <c r="G64" s="1142"/>
      <c r="H64" s="107"/>
      <c r="I64" s="107"/>
      <c r="J64" s="107"/>
      <c r="K64" s="107"/>
      <c r="L64" s="107"/>
      <c r="M64" s="107"/>
      <c r="N64" s="107"/>
      <c r="O64" s="107"/>
    </row>
    <row r="65" spans="1:15">
      <c r="A65" s="926">
        <f t="shared" si="1"/>
        <v>53</v>
      </c>
      <c r="B65" s="1" t="s">
        <v>213</v>
      </c>
      <c r="C65" s="759">
        <v>1</v>
      </c>
      <c r="D65" s="759">
        <f>$C$65</f>
        <v>1</v>
      </c>
      <c r="E65" s="759">
        <f t="shared" ref="E65:N65" si="33">$C$65</f>
        <v>1</v>
      </c>
      <c r="F65" s="759">
        <f t="shared" si="33"/>
        <v>1</v>
      </c>
      <c r="G65" s="759">
        <f t="shared" si="33"/>
        <v>1</v>
      </c>
      <c r="H65" s="759">
        <f t="shared" si="33"/>
        <v>1</v>
      </c>
      <c r="I65" s="759">
        <f t="shared" si="33"/>
        <v>1</v>
      </c>
      <c r="J65" s="759">
        <f t="shared" si="33"/>
        <v>1</v>
      </c>
      <c r="K65" s="759">
        <f t="shared" si="33"/>
        <v>1</v>
      </c>
      <c r="L65" s="759">
        <f t="shared" si="33"/>
        <v>1</v>
      </c>
      <c r="M65" s="759">
        <f t="shared" si="33"/>
        <v>1</v>
      </c>
      <c r="N65" s="759">
        <f t="shared" si="33"/>
        <v>1</v>
      </c>
      <c r="O65" s="107"/>
    </row>
    <row r="66" spans="1:15">
      <c r="A66" s="926">
        <f t="shared" si="1"/>
        <v>54</v>
      </c>
      <c r="B66" s="1" t="s">
        <v>214</v>
      </c>
      <c r="C66" s="759">
        <f>Allocation!D17</f>
        <v>0.49090457251500325</v>
      </c>
      <c r="D66" s="759">
        <f>$C$66</f>
        <v>0.49090457251500325</v>
      </c>
      <c r="E66" s="759">
        <f t="shared" ref="E66:N66" si="34">$C$66</f>
        <v>0.49090457251500325</v>
      </c>
      <c r="F66" s="759">
        <f t="shared" si="34"/>
        <v>0.49090457251500325</v>
      </c>
      <c r="G66" s="759">
        <f t="shared" si="34"/>
        <v>0.49090457251500325</v>
      </c>
      <c r="H66" s="759">
        <f t="shared" si="34"/>
        <v>0.49090457251500325</v>
      </c>
      <c r="I66" s="759">
        <f t="shared" si="34"/>
        <v>0.49090457251500325</v>
      </c>
      <c r="J66" s="759">
        <f t="shared" si="34"/>
        <v>0.49090457251500325</v>
      </c>
      <c r="K66" s="759">
        <f t="shared" si="34"/>
        <v>0.49090457251500325</v>
      </c>
      <c r="L66" s="759">
        <f t="shared" si="34"/>
        <v>0.49090457251500325</v>
      </c>
      <c r="M66" s="759">
        <f t="shared" si="34"/>
        <v>0.49090457251500325</v>
      </c>
      <c r="N66" s="759">
        <f t="shared" si="34"/>
        <v>0.49090457251500325</v>
      </c>
      <c r="O66" s="107"/>
    </row>
    <row r="67" spans="1:15">
      <c r="A67" s="926">
        <f t="shared" si="1"/>
        <v>55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>
      <c r="A68" s="926">
        <f t="shared" si="1"/>
        <v>56</v>
      </c>
      <c r="B68" s="1" t="s">
        <v>1407</v>
      </c>
      <c r="C68" s="1157">
        <f>C63*C65*C66</f>
        <v>7009.8522070450899</v>
      </c>
      <c r="D68" s="1157">
        <f t="shared" ref="D68:N68" si="35">D63*D65*D66</f>
        <v>7898.2622899225053</v>
      </c>
      <c r="E68" s="1157">
        <f t="shared" si="35"/>
        <v>8180.7182755897866</v>
      </c>
      <c r="F68" s="1157">
        <f t="shared" si="35"/>
        <v>7547.9845230236442</v>
      </c>
      <c r="G68" s="1157">
        <f t="shared" si="35"/>
        <v>8158.3450444956416</v>
      </c>
      <c r="H68" s="1157">
        <f t="shared" si="35"/>
        <v>8158.3450444956416</v>
      </c>
      <c r="I68" s="1157">
        <f t="shared" si="35"/>
        <v>8158.3450444956416</v>
      </c>
      <c r="J68" s="1157">
        <f t="shared" si="35"/>
        <v>8158.3450444956416</v>
      </c>
      <c r="K68" s="1157">
        <f t="shared" si="35"/>
        <v>8158.3450444956416</v>
      </c>
      <c r="L68" s="1157">
        <f t="shared" si="35"/>
        <v>9546.2236807946865</v>
      </c>
      <c r="M68" s="1157">
        <f t="shared" si="35"/>
        <v>7686.9705290985303</v>
      </c>
      <c r="N68" s="1157">
        <f t="shared" si="35"/>
        <v>15029.999448602497</v>
      </c>
      <c r="O68" s="721">
        <f>SUM(C68:N68)</f>
        <v>103691.73617655494</v>
      </c>
    </row>
    <row r="69" spans="1:15">
      <c r="B69" s="412"/>
    </row>
  </sheetData>
  <mergeCells count="4">
    <mergeCell ref="A1:O1"/>
    <mergeCell ref="A2:O2"/>
    <mergeCell ref="A3:O3"/>
    <mergeCell ref="A4:O4"/>
  </mergeCells>
  <phoneticPr fontId="24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C23" sqref="C23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3" spans="1:3">
      <c r="A13" s="1241" t="s">
        <v>1526</v>
      </c>
      <c r="B13" s="1241"/>
      <c r="C13" s="1241"/>
    </row>
    <row r="15" spans="1:3">
      <c r="A15" s="1241" t="s">
        <v>64</v>
      </c>
      <c r="B15" s="1241"/>
      <c r="C15" s="1241"/>
    </row>
    <row r="18" spans="1:3">
      <c r="A18" s="84" t="s">
        <v>63</v>
      </c>
      <c r="B18" s="84"/>
      <c r="C18" s="84" t="s">
        <v>1004</v>
      </c>
    </row>
    <row r="20" spans="1:3">
      <c r="A20" t="s">
        <v>1085</v>
      </c>
      <c r="B20" s="76"/>
      <c r="C20" t="s">
        <v>1097</v>
      </c>
    </row>
    <row r="21" spans="1:3">
      <c r="A21" t="s">
        <v>485</v>
      </c>
      <c r="B21" s="76"/>
      <c r="C21" t="s">
        <v>444</v>
      </c>
    </row>
    <row r="22" spans="1:3">
      <c r="A22" t="s">
        <v>1109</v>
      </c>
      <c r="B22" s="76"/>
      <c r="C22" t="s">
        <v>444</v>
      </c>
    </row>
    <row r="23" spans="1:3">
      <c r="A23" t="s">
        <v>1111</v>
      </c>
      <c r="B23" s="76"/>
      <c r="C23" t="s">
        <v>444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87" right="0.69" top="1" bottom="1" header="0.5" footer="0.5"/>
  <pageSetup scale="84" orientation="portrait" r:id="rId1"/>
  <headerFooter alignWithMargins="0"/>
  <colBreaks count="1" manualBreakCount="1">
    <brk id="3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418"/>
  <sheetViews>
    <sheetView view="pageBreakPreview" zoomScale="60" zoomScaleNormal="85" workbookViewId="0">
      <pane ySplit="12" topLeftCell="A13" activePane="bottomLeft" state="frozen"/>
      <selection activeCell="B6" sqref="B6"/>
      <selection pane="bottomLeft" activeCell="D54" sqref="D54"/>
    </sheetView>
  </sheetViews>
  <sheetFormatPr defaultColWidth="7.109375" defaultRowHeight="15.75" customHeight="1"/>
  <cols>
    <col min="1" max="1" width="4.33203125" style="1" customWidth="1"/>
    <col min="2" max="2" width="9.109375" style="1" customWidth="1"/>
    <col min="3" max="3" width="29.5546875" style="1" customWidth="1"/>
    <col min="4" max="4" width="12.44140625" style="1" customWidth="1"/>
    <col min="5" max="5" width="1.44140625" style="1" customWidth="1"/>
    <col min="6" max="6" width="11.33203125" style="1" customWidth="1"/>
    <col min="7" max="7" width="1.44140625" style="1" customWidth="1"/>
    <col min="8" max="8" width="10.6640625" style="1" customWidth="1"/>
    <col min="9" max="9" width="1.44140625" style="1" customWidth="1"/>
    <col min="10" max="10" width="16" style="1" customWidth="1"/>
    <col min="11" max="11" width="1.44140625" style="1" customWidth="1"/>
    <col min="12" max="12" width="10" style="1" customWidth="1"/>
    <col min="13" max="13" width="1.44140625" style="1" customWidth="1"/>
    <col min="14" max="14" width="12" style="1" customWidth="1"/>
    <col min="15" max="15" width="1.44140625" style="1" customWidth="1"/>
    <col min="16" max="16" width="13.5546875" style="1" customWidth="1"/>
    <col min="17" max="17" width="6.6640625" style="1" customWidth="1"/>
    <col min="18" max="18" width="7.44140625" style="1" customWidth="1"/>
    <col min="19" max="19" width="9.5546875" style="1" customWidth="1"/>
    <col min="20" max="20" width="6.109375" style="1" customWidth="1"/>
    <col min="21" max="21" width="5.33203125" style="1" customWidth="1"/>
    <col min="22" max="22" width="7.44140625" style="1" customWidth="1"/>
    <col min="23" max="16384" width="7.109375" style="1"/>
  </cols>
  <sheetData>
    <row r="1" spans="1:19" ht="15.75" customHeight="1">
      <c r="A1" s="236" t="str">
        <f>'Table of Contents'!A1:C1</f>
        <v>Atmos Energy Corporation, Kentucky/Mid-States Division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/>
      <c r="R1"/>
      <c r="S1"/>
    </row>
    <row r="2" spans="1:19" ht="15.75" customHeight="1">
      <c r="A2" s="236" t="str">
        <f>'Table of Contents'!A2:C2</f>
        <v>Kentucky Jurisdiction Case No. 2015-00343</v>
      </c>
      <c r="B2" s="40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/>
      <c r="R2"/>
      <c r="S2"/>
    </row>
    <row r="3" spans="1:19" ht="15.75" customHeight="1">
      <c r="A3" s="92" t="s">
        <v>54</v>
      </c>
      <c r="B3" s="40"/>
      <c r="C3" s="40"/>
      <c r="D3" s="4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/>
      <c r="R3"/>
      <c r="S3"/>
    </row>
    <row r="4" spans="1:19" ht="15.75" customHeight="1">
      <c r="A4" s="92" t="s">
        <v>868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/>
      <c r="R4"/>
      <c r="S4"/>
    </row>
    <row r="5" spans="1:19" ht="15.75" customHeight="1">
      <c r="A5" s="92" t="str">
        <f>Allocation!A4</f>
        <v>Forecasted Test Period: Twelve Months Ended May 31, 2017</v>
      </c>
      <c r="B5" s="40"/>
      <c r="C5" s="40"/>
      <c r="D5" s="64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/>
      <c r="R5"/>
      <c r="S5"/>
    </row>
    <row r="6" spans="1:19" ht="15.75" customHeight="1">
      <c r="A6" s="92"/>
      <c r="B6" s="40"/>
      <c r="C6" s="40"/>
      <c r="D6" s="64"/>
      <c r="E6" s="40"/>
      <c r="F6" s="40"/>
      <c r="G6" s="40"/>
      <c r="H6" s="40"/>
      <c r="I6" s="40"/>
      <c r="J6" s="40"/>
      <c r="K6" s="40"/>
      <c r="M6" s="40"/>
      <c r="N6" s="47"/>
      <c r="O6" s="40"/>
      <c r="P6" s="47"/>
      <c r="Q6"/>
      <c r="R6"/>
      <c r="S6"/>
    </row>
    <row r="7" spans="1:19" ht="15.75" customHeight="1">
      <c r="A7" s="4" t="s">
        <v>696</v>
      </c>
      <c r="N7" s="70"/>
      <c r="P7" s="723" t="s">
        <v>1527</v>
      </c>
      <c r="Q7"/>
      <c r="R7"/>
      <c r="S7"/>
    </row>
    <row r="8" spans="1:19" ht="15.75" customHeight="1">
      <c r="A8" s="4" t="s">
        <v>1068</v>
      </c>
      <c r="P8" s="724" t="s">
        <v>693</v>
      </c>
      <c r="Q8"/>
      <c r="R8"/>
      <c r="S8"/>
    </row>
    <row r="9" spans="1:19" ht="15.75" customHeight="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45"/>
      <c r="M9" s="6"/>
      <c r="N9" s="6"/>
      <c r="O9" s="6"/>
      <c r="P9" s="962" t="s">
        <v>1393</v>
      </c>
      <c r="Q9"/>
      <c r="R9"/>
      <c r="S9"/>
    </row>
    <row r="10" spans="1:19" ht="15.75" customHeight="1">
      <c r="H10" s="2" t="s">
        <v>223</v>
      </c>
      <c r="Q10"/>
      <c r="R10"/>
      <c r="S10"/>
    </row>
    <row r="11" spans="1:19" ht="15.75" customHeight="1">
      <c r="A11" s="2" t="s">
        <v>98</v>
      </c>
      <c r="B11" s="182" t="s">
        <v>1348</v>
      </c>
      <c r="D11" s="2" t="s">
        <v>45</v>
      </c>
      <c r="F11" s="33" t="s">
        <v>485</v>
      </c>
      <c r="G11" s="13"/>
      <c r="H11" s="33" t="s">
        <v>485</v>
      </c>
      <c r="I11" s="36"/>
      <c r="J11" s="33" t="s">
        <v>485</v>
      </c>
      <c r="K11" s="13"/>
      <c r="L11" s="587" t="s">
        <v>1109</v>
      </c>
      <c r="M11" s="591"/>
      <c r="N11" s="587" t="s">
        <v>1109</v>
      </c>
      <c r="O11" s="13"/>
      <c r="P11" s="33" t="s">
        <v>101</v>
      </c>
      <c r="Q11"/>
      <c r="R11"/>
      <c r="S11"/>
    </row>
    <row r="12" spans="1:19" ht="15.75" customHeight="1">
      <c r="A12" s="9" t="s">
        <v>104</v>
      </c>
      <c r="B12" s="183" t="s">
        <v>224</v>
      </c>
      <c r="C12" s="6"/>
      <c r="D12" s="9" t="s">
        <v>553</v>
      </c>
      <c r="E12" s="6"/>
      <c r="F12" s="9" t="s">
        <v>622</v>
      </c>
      <c r="G12" s="5" t="s">
        <v>332</v>
      </c>
      <c r="H12" s="9" t="s">
        <v>479</v>
      </c>
      <c r="I12" s="5" t="s">
        <v>332</v>
      </c>
      <c r="J12" s="9" t="s">
        <v>480</v>
      </c>
      <c r="K12" s="5" t="s">
        <v>332</v>
      </c>
      <c r="L12" s="588" t="s">
        <v>481</v>
      </c>
      <c r="M12" s="584" t="s">
        <v>332</v>
      </c>
      <c r="N12" s="588" t="s">
        <v>482</v>
      </c>
      <c r="O12" s="6"/>
      <c r="P12" s="9" t="s">
        <v>486</v>
      </c>
      <c r="Q12"/>
      <c r="R12"/>
      <c r="S12"/>
    </row>
    <row r="13" spans="1:19" ht="15.75" customHeight="1">
      <c r="Q13"/>
      <c r="R13"/>
      <c r="S13"/>
    </row>
    <row r="14" spans="1:19" ht="15.75" customHeight="1">
      <c r="B14" s="4" t="s">
        <v>1134</v>
      </c>
      <c r="Q14"/>
      <c r="R14"/>
      <c r="S14"/>
    </row>
    <row r="15" spans="1:19" ht="15.75" customHeight="1">
      <c r="A15" s="2" t="s">
        <v>376</v>
      </c>
      <c r="B15" s="4" t="s">
        <v>1034</v>
      </c>
      <c r="D15" s="136">
        <f>'C.2.1 B'!D15</f>
        <v>98207124.629063994</v>
      </c>
      <c r="E15" s="130"/>
      <c r="F15" s="136">
        <f>D.2.1!D15</f>
        <v>-2384094.803710565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>
        <f>SUM(F15:O15)</f>
        <v>-2384094.803710565</v>
      </c>
      <c r="Q15"/>
      <c r="R15"/>
      <c r="S15"/>
    </row>
    <row r="16" spans="1:19" ht="15.75" customHeight="1">
      <c r="A16" s="2">
        <f>A15+1</f>
        <v>2</v>
      </c>
      <c r="B16" s="4" t="s">
        <v>1035</v>
      </c>
      <c r="D16" s="136">
        <f>'C.2.1 B'!D17</f>
        <v>40950740.394301347</v>
      </c>
      <c r="E16" s="130"/>
      <c r="F16" s="136">
        <f>D.2.1!D20</f>
        <v>-1088295.1736240983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>
        <f>SUM(F16:O16)</f>
        <v>-1088295.1736240983</v>
      </c>
      <c r="Q16"/>
      <c r="R16"/>
      <c r="S16"/>
    </row>
    <row r="17" spans="1:19" ht="15.75" customHeight="1">
      <c r="A17" s="925">
        <f t="shared" ref="A17:A42" si="0">A16+1</f>
        <v>3</v>
      </c>
      <c r="B17" s="4" t="s">
        <v>1036</v>
      </c>
      <c r="D17" s="136">
        <f>'C.2.1 B'!D18</f>
        <v>5451325.746213723</v>
      </c>
      <c r="E17" s="130"/>
      <c r="F17" s="136">
        <f>D.2.1!D25</f>
        <v>-570798.50643856172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>
        <f>SUM(F17:O17)</f>
        <v>-570798.50643856172</v>
      </c>
      <c r="Q17"/>
      <c r="R17"/>
      <c r="S17"/>
    </row>
    <row r="18" spans="1:19" ht="15.75" customHeight="1">
      <c r="A18" s="925">
        <f t="shared" si="0"/>
        <v>4</v>
      </c>
      <c r="B18" s="4" t="s">
        <v>1037</v>
      </c>
      <c r="D18" s="136">
        <f>'C.2.1 B'!D21</f>
        <v>7553488.8796820827</v>
      </c>
      <c r="E18" s="130"/>
      <c r="F18" s="136">
        <f>D.2.1!D30</f>
        <v>-363879.83571324311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>
        <f>SUM(F18:O18)</f>
        <v>-363879.83571324311</v>
      </c>
      <c r="Q18"/>
      <c r="R18"/>
      <c r="S18"/>
    </row>
    <row r="19" spans="1:19" ht="15.75" customHeight="1">
      <c r="A19" s="925">
        <f t="shared" si="0"/>
        <v>5</v>
      </c>
      <c r="B19" s="4"/>
      <c r="D19" s="576"/>
      <c r="E19" s="130"/>
      <c r="F19" s="138"/>
      <c r="G19" s="136"/>
      <c r="H19" s="138"/>
      <c r="I19" s="136"/>
      <c r="J19" s="138"/>
      <c r="K19" s="136"/>
      <c r="L19" s="138"/>
      <c r="M19" s="136"/>
      <c r="N19" s="138"/>
      <c r="O19" s="136"/>
      <c r="P19" s="138"/>
      <c r="Q19"/>
      <c r="R19"/>
      <c r="S19"/>
    </row>
    <row r="20" spans="1:19" ht="15.75" customHeight="1">
      <c r="A20" s="925">
        <f t="shared" si="0"/>
        <v>6</v>
      </c>
      <c r="D20" s="136"/>
      <c r="E20" s="130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/>
      <c r="R20"/>
      <c r="S20"/>
    </row>
    <row r="21" spans="1:19" ht="15.75" customHeight="1">
      <c r="A21" s="925">
        <f t="shared" si="0"/>
        <v>7</v>
      </c>
      <c r="B21" s="4" t="s">
        <v>596</v>
      </c>
      <c r="D21" s="136">
        <f>SUM(D15:D19)</f>
        <v>152162679.64926118</v>
      </c>
      <c r="E21" s="130"/>
      <c r="F21" s="136">
        <f>SUM(F15:F19)</f>
        <v>-4407068.3194864681</v>
      </c>
      <c r="G21" s="136"/>
      <c r="H21" s="136">
        <f>SUM(H15:H19)</f>
        <v>0</v>
      </c>
      <c r="I21" s="136"/>
      <c r="J21" s="136">
        <f>SUM(J15:J19)</f>
        <v>0</v>
      </c>
      <c r="K21" s="136"/>
      <c r="L21" s="136">
        <f>SUM(L15:L19)</f>
        <v>0</v>
      </c>
      <c r="M21" s="136"/>
      <c r="N21" s="136">
        <f>SUM(N15:N19)</f>
        <v>0</v>
      </c>
      <c r="O21" s="136"/>
      <c r="P21" s="136">
        <f>SUM(F21:O21)</f>
        <v>-4407068.3194864681</v>
      </c>
      <c r="Q21"/>
      <c r="R21"/>
      <c r="S21"/>
    </row>
    <row r="22" spans="1:19" ht="15.75" customHeight="1">
      <c r="A22" s="925">
        <f t="shared" si="0"/>
        <v>8</v>
      </c>
      <c r="D22" s="136"/>
      <c r="E22" s="130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/>
      <c r="R22"/>
      <c r="S22"/>
    </row>
    <row r="23" spans="1:19" ht="15.75" customHeight="1">
      <c r="A23" s="925">
        <f t="shared" si="0"/>
        <v>9</v>
      </c>
      <c r="B23" s="4" t="s">
        <v>448</v>
      </c>
      <c r="D23" s="136"/>
      <c r="E23" s="130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/>
      <c r="R23"/>
      <c r="S23"/>
    </row>
    <row r="24" spans="1:19" ht="15.75" customHeight="1">
      <c r="A24" s="925">
        <f t="shared" si="0"/>
        <v>10</v>
      </c>
      <c r="B24" s="4" t="s">
        <v>235</v>
      </c>
      <c r="D24" s="136">
        <f>'C.2.1 B'!D26</f>
        <v>1230383.6535251739</v>
      </c>
      <c r="E24" s="130"/>
      <c r="F24" s="136"/>
      <c r="G24" s="136"/>
      <c r="H24" s="136">
        <f>D.2.1!D40</f>
        <v>-89496.474529500119</v>
      </c>
      <c r="I24" s="136"/>
      <c r="J24" s="136"/>
      <c r="K24" s="136"/>
      <c r="L24" s="136"/>
      <c r="M24" s="136"/>
      <c r="N24" s="136"/>
      <c r="O24" s="136"/>
      <c r="P24" s="136">
        <f>SUM(F24:O24)</f>
        <v>-89496.474529500119</v>
      </c>
      <c r="Q24"/>
      <c r="R24"/>
      <c r="S24"/>
    </row>
    <row r="25" spans="1:19" ht="15.75" customHeight="1">
      <c r="A25" s="925">
        <f t="shared" si="0"/>
        <v>11</v>
      </c>
      <c r="B25" s="4" t="s">
        <v>582</v>
      </c>
      <c r="D25" s="136">
        <f>'C.2.1 B'!D27</f>
        <v>796529.01</v>
      </c>
      <c r="E25" s="130"/>
      <c r="F25" s="136"/>
      <c r="G25" s="136"/>
      <c r="H25" s="136">
        <f>D.2.1!D45</f>
        <v>-704.01000000000931</v>
      </c>
      <c r="I25" s="136"/>
      <c r="J25" s="136"/>
      <c r="K25" s="136"/>
      <c r="L25" s="136"/>
      <c r="M25" s="136"/>
      <c r="N25" s="136"/>
      <c r="O25" s="136"/>
      <c r="P25" s="136">
        <f>SUM(F25:O25)</f>
        <v>-704.01000000000931</v>
      </c>
      <c r="Q25"/>
      <c r="R25"/>
      <c r="S25"/>
    </row>
    <row r="26" spans="1:19" ht="15.75" customHeight="1">
      <c r="A26" s="925">
        <f t="shared" si="0"/>
        <v>12</v>
      </c>
      <c r="B26" s="4" t="s">
        <v>1243</v>
      </c>
      <c r="D26" s="136">
        <f>'C.2.1 B'!D28</f>
        <v>14819845.18675</v>
      </c>
      <c r="E26" s="130"/>
      <c r="F26" s="136"/>
      <c r="G26" s="136"/>
      <c r="H26" s="136">
        <f>D.2.1!D50</f>
        <v>-326241.28060000017</v>
      </c>
      <c r="I26" s="136"/>
      <c r="J26" s="136"/>
      <c r="K26" s="136"/>
      <c r="L26" s="136"/>
      <c r="M26" s="136"/>
      <c r="N26" s="136"/>
      <c r="O26" s="136"/>
      <c r="P26" s="136">
        <f>SUM(F26:O26)</f>
        <v>-326241.28060000017</v>
      </c>
      <c r="Q26"/>
      <c r="R26"/>
      <c r="S26"/>
    </row>
    <row r="27" spans="1:19" ht="15.75" customHeight="1">
      <c r="A27" s="925">
        <f t="shared" si="0"/>
        <v>13</v>
      </c>
      <c r="B27" s="4" t="s">
        <v>227</v>
      </c>
      <c r="D27" s="576">
        <f>'C.2.1 B'!D29</f>
        <v>1366066.4424999999</v>
      </c>
      <c r="E27" s="130"/>
      <c r="F27" s="138"/>
      <c r="G27" s="136"/>
      <c r="H27" s="138">
        <f>D.2.1!D55</f>
        <v>1252661.6149999998</v>
      </c>
      <c r="I27" s="136"/>
      <c r="J27" s="138"/>
      <c r="K27" s="136"/>
      <c r="L27" s="138"/>
      <c r="M27" s="136"/>
      <c r="N27" s="138"/>
      <c r="O27" s="136"/>
      <c r="P27" s="138">
        <f>SUM(F27:O27)</f>
        <v>1252661.6149999998</v>
      </c>
      <c r="Q27"/>
      <c r="R27"/>
      <c r="S27"/>
    </row>
    <row r="28" spans="1:19" ht="15.75" customHeight="1">
      <c r="A28" s="925">
        <f t="shared" si="0"/>
        <v>14</v>
      </c>
      <c r="D28" s="136"/>
      <c r="E28" s="130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/>
      <c r="R28"/>
      <c r="S28"/>
    </row>
    <row r="29" spans="1:19" ht="15.75" customHeight="1">
      <c r="A29" s="925">
        <f t="shared" si="0"/>
        <v>15</v>
      </c>
      <c r="B29" s="4" t="s">
        <v>1177</v>
      </c>
      <c r="D29" s="138">
        <f>SUM(D24:D27)</f>
        <v>18212824.292775173</v>
      </c>
      <c r="E29" s="130"/>
      <c r="F29" s="138">
        <f>SUM(F25:F27)</f>
        <v>0</v>
      </c>
      <c r="G29" s="136"/>
      <c r="H29" s="138">
        <f>SUM(H24:H27)</f>
        <v>836219.84987049946</v>
      </c>
      <c r="I29" s="136"/>
      <c r="J29" s="138">
        <f>SUM(J25:J27)</f>
        <v>0</v>
      </c>
      <c r="K29" s="130"/>
      <c r="L29" s="138">
        <f>SUM(L25:L27)</f>
        <v>0</v>
      </c>
      <c r="M29" s="136"/>
      <c r="N29" s="138">
        <f>SUM(N25:N27)</f>
        <v>0</v>
      </c>
      <c r="O29" s="136"/>
      <c r="P29" s="138">
        <f>SUM(F29:O29)</f>
        <v>836219.84987049946</v>
      </c>
      <c r="Q29"/>
      <c r="R29"/>
      <c r="S29"/>
    </row>
    <row r="30" spans="1:19" ht="15.75" customHeight="1">
      <c r="A30" s="925">
        <f t="shared" si="0"/>
        <v>16</v>
      </c>
      <c r="D30" s="136"/>
      <c r="E30" s="130"/>
      <c r="F30" s="136"/>
      <c r="G30" s="136"/>
      <c r="H30" s="136"/>
      <c r="I30" s="136"/>
      <c r="J30" s="136"/>
      <c r="K30" s="130"/>
      <c r="L30" s="136"/>
      <c r="M30" s="136"/>
      <c r="N30" s="136"/>
      <c r="O30" s="136"/>
      <c r="P30" s="136"/>
      <c r="Q30"/>
      <c r="R30"/>
      <c r="S30"/>
    </row>
    <row r="31" spans="1:19" ht="15.75" customHeight="1">
      <c r="A31" s="925">
        <f t="shared" si="0"/>
        <v>17</v>
      </c>
      <c r="B31" s="4" t="s">
        <v>500</v>
      </c>
      <c r="D31" s="156">
        <f>D21+D29</f>
        <v>170375503.94203636</v>
      </c>
      <c r="E31" s="130"/>
      <c r="F31" s="156">
        <f>F21+F29</f>
        <v>-4407068.3194864681</v>
      </c>
      <c r="G31" s="136"/>
      <c r="H31" s="156">
        <f>H21+H29</f>
        <v>836219.84987049946</v>
      </c>
      <c r="I31" s="136"/>
      <c r="J31" s="156">
        <f>J21+J29</f>
        <v>0</v>
      </c>
      <c r="K31" s="130"/>
      <c r="L31" s="156">
        <f>L21+L29</f>
        <v>0</v>
      </c>
      <c r="M31" s="136"/>
      <c r="N31" s="156">
        <f>N21+N29</f>
        <v>0</v>
      </c>
      <c r="O31" s="136"/>
      <c r="P31" s="156">
        <f>SUM(F31:O31)</f>
        <v>-3570848.4696159689</v>
      </c>
      <c r="Q31"/>
      <c r="R31"/>
      <c r="S31"/>
    </row>
    <row r="32" spans="1:19" ht="15.75" customHeight="1">
      <c r="A32" s="925">
        <f t="shared" si="0"/>
        <v>18</v>
      </c>
      <c r="D32" s="136"/>
      <c r="E32" s="130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/>
      <c r="R32"/>
      <c r="S32"/>
    </row>
    <row r="33" spans="1:20" ht="15.75" customHeight="1">
      <c r="A33" s="925">
        <f t="shared" si="0"/>
        <v>19</v>
      </c>
      <c r="B33" s="4" t="s">
        <v>855</v>
      </c>
      <c r="D33" s="136"/>
      <c r="E33" s="130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/>
      <c r="R33"/>
      <c r="S33"/>
    </row>
    <row r="34" spans="1:20" ht="15.75" customHeight="1">
      <c r="A34" s="925">
        <f t="shared" si="0"/>
        <v>20</v>
      </c>
      <c r="B34" s="4" t="s">
        <v>228</v>
      </c>
      <c r="D34" s="138">
        <f>'C.2.1 B'!D104</f>
        <v>77033020.869385153</v>
      </c>
      <c r="E34" s="130"/>
      <c r="F34" s="138"/>
      <c r="G34" s="136"/>
      <c r="H34" s="138"/>
      <c r="I34" s="136"/>
      <c r="J34" s="138">
        <f>D.2.1!D60</f>
        <v>2345155.8210695088</v>
      </c>
      <c r="K34" s="136"/>
      <c r="L34" s="138"/>
      <c r="M34" s="136"/>
      <c r="N34" s="138"/>
      <c r="O34" s="136"/>
      <c r="P34" s="138">
        <f>SUM(F34:O34)</f>
        <v>2345155.8210695088</v>
      </c>
      <c r="Q34"/>
      <c r="R34"/>
      <c r="S34"/>
    </row>
    <row r="35" spans="1:20" ht="15.75" customHeight="1">
      <c r="A35" s="925">
        <f t="shared" si="0"/>
        <v>21</v>
      </c>
      <c r="D35" s="136"/>
      <c r="E35" s="130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/>
      <c r="R35"/>
      <c r="S35"/>
    </row>
    <row r="36" spans="1:20" ht="15.75" customHeight="1">
      <c r="A36" s="925">
        <f t="shared" si="0"/>
        <v>22</v>
      </c>
      <c r="B36" s="4" t="s">
        <v>856</v>
      </c>
      <c r="D36" s="138">
        <f>SUM(D34:D34)</f>
        <v>77033020.869385153</v>
      </c>
      <c r="E36" s="130"/>
      <c r="F36" s="138">
        <f>SUM(F34:F34)</f>
        <v>0</v>
      </c>
      <c r="G36" s="136"/>
      <c r="H36" s="138">
        <f>SUM(H34:H34)</f>
        <v>0</v>
      </c>
      <c r="I36" s="136"/>
      <c r="J36" s="138">
        <f>SUM(J34:J34)</f>
        <v>2345155.8210695088</v>
      </c>
      <c r="K36" s="136"/>
      <c r="L36" s="138">
        <f>SUM(L34:L34)</f>
        <v>0</v>
      </c>
      <c r="M36" s="130"/>
      <c r="N36" s="138">
        <f>SUM(N34:N34)</f>
        <v>0</v>
      </c>
      <c r="O36" s="136"/>
      <c r="P36" s="138">
        <f>SUM(F36:O36)</f>
        <v>2345155.8210695088</v>
      </c>
      <c r="Q36"/>
      <c r="R36"/>
      <c r="S36"/>
    </row>
    <row r="37" spans="1:20" ht="15.75" customHeight="1">
      <c r="A37" s="925">
        <f t="shared" si="0"/>
        <v>23</v>
      </c>
      <c r="D37" s="136"/>
      <c r="E37" s="130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/>
      <c r="R37"/>
      <c r="S37"/>
    </row>
    <row r="38" spans="1:20" ht="15.75" customHeight="1">
      <c r="A38" s="925">
        <f t="shared" si="0"/>
        <v>24</v>
      </c>
      <c r="B38" s="4" t="s">
        <v>501</v>
      </c>
      <c r="D38" s="156">
        <f>D31-D36</f>
        <v>93342483.072651207</v>
      </c>
      <c r="E38" s="130"/>
      <c r="F38" s="156">
        <f>F31-F36</f>
        <v>-4407068.3194864681</v>
      </c>
      <c r="G38" s="136"/>
      <c r="H38" s="156">
        <f>H31-H36</f>
        <v>836219.84987049946</v>
      </c>
      <c r="I38" s="136"/>
      <c r="J38" s="156">
        <f>J31-J36</f>
        <v>-2345155.8210695088</v>
      </c>
      <c r="K38" s="136"/>
      <c r="L38" s="156">
        <f>L31-L36</f>
        <v>0</v>
      </c>
      <c r="M38" s="130"/>
      <c r="N38" s="156">
        <f>N31-N36</f>
        <v>0</v>
      </c>
      <c r="O38" s="136"/>
      <c r="P38" s="156">
        <f>SUM(F38:O38)</f>
        <v>-5916004.2906854777</v>
      </c>
      <c r="Q38"/>
      <c r="R38"/>
      <c r="S38"/>
    </row>
    <row r="39" spans="1:20" ht="15.75" customHeight="1">
      <c r="A39" s="925">
        <f t="shared" si="0"/>
        <v>25</v>
      </c>
      <c r="D39" s="136"/>
      <c r="E39" s="130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/>
      <c r="R39"/>
      <c r="S39"/>
    </row>
    <row r="40" spans="1:20" ht="15.75" customHeight="1">
      <c r="A40" s="925">
        <f t="shared" si="0"/>
        <v>26</v>
      </c>
      <c r="B40" s="4" t="s">
        <v>229</v>
      </c>
      <c r="D40" s="756">
        <f>Allocation!E23</f>
        <v>0.38900000000000001</v>
      </c>
      <c r="E40" s="130"/>
      <c r="F40" s="156">
        <f>F38*$D$40</f>
        <v>-1714349.5762802362</v>
      </c>
      <c r="G40" s="136"/>
      <c r="H40" s="156">
        <f>H38*$D$40</f>
        <v>325289.52159962431</v>
      </c>
      <c r="I40" s="136"/>
      <c r="J40" s="156">
        <f>J38*$D$40</f>
        <v>-912265.61439603893</v>
      </c>
      <c r="K40" s="136"/>
      <c r="L40" s="156">
        <f>L38*$D$40</f>
        <v>0</v>
      </c>
      <c r="M40" s="136"/>
      <c r="N40" s="156">
        <f>N38*$D$40</f>
        <v>0</v>
      </c>
      <c r="O40" s="136"/>
      <c r="P40" s="156">
        <f>P38*$D$40</f>
        <v>-2301325.6690766509</v>
      </c>
      <c r="Q40"/>
      <c r="R40"/>
      <c r="S40"/>
    </row>
    <row r="41" spans="1:20" ht="15.75" customHeight="1">
      <c r="A41" s="925">
        <f t="shared" si="0"/>
        <v>27</v>
      </c>
      <c r="D41" s="756"/>
      <c r="E41" s="130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/>
      <c r="R41"/>
      <c r="S41"/>
    </row>
    <row r="42" spans="1:20" ht="15.75" customHeight="1">
      <c r="A42" s="925">
        <f t="shared" si="0"/>
        <v>28</v>
      </c>
      <c r="B42" s="4" t="s">
        <v>857</v>
      </c>
      <c r="D42" s="136"/>
      <c r="E42" s="130"/>
      <c r="F42" s="156">
        <f>F38-F40</f>
        <v>-2692718.7432062319</v>
      </c>
      <c r="G42" s="136"/>
      <c r="H42" s="156">
        <f>H38-H40</f>
        <v>510930.32827087515</v>
      </c>
      <c r="I42" s="136"/>
      <c r="J42" s="156">
        <f>J38-J40</f>
        <v>-1432890.2066734699</v>
      </c>
      <c r="K42" s="136"/>
      <c r="L42" s="156">
        <f>L38-L40</f>
        <v>0</v>
      </c>
      <c r="M42" s="136"/>
      <c r="N42" s="156">
        <f>N38-N40</f>
        <v>0</v>
      </c>
      <c r="O42" s="136"/>
      <c r="P42" s="156">
        <f>P38-P40</f>
        <v>-3614678.6216088268</v>
      </c>
      <c r="Q42"/>
      <c r="R42"/>
      <c r="S42"/>
    </row>
    <row r="43" spans="1:20" ht="15.75" customHeight="1">
      <c r="A43" s="2"/>
      <c r="B43" s="4"/>
      <c r="D43" s="136"/>
      <c r="E43" s="130"/>
      <c r="F43" s="156"/>
      <c r="G43" s="136"/>
      <c r="H43" s="156"/>
      <c r="I43" s="136"/>
      <c r="J43" s="156"/>
      <c r="K43" s="136"/>
      <c r="L43" s="156"/>
      <c r="M43" s="136"/>
      <c r="N43" s="156"/>
      <c r="O43" s="136"/>
      <c r="P43" s="156"/>
      <c r="Q43"/>
      <c r="R43"/>
      <c r="S43"/>
    </row>
    <row r="44" spans="1:20" ht="15.75" customHeight="1">
      <c r="D44" s="130"/>
      <c r="E44" s="130"/>
      <c r="F44" s="130"/>
      <c r="G44" s="130"/>
      <c r="H44" s="165" t="s">
        <v>223</v>
      </c>
      <c r="I44" s="130"/>
      <c r="J44" s="130"/>
      <c r="K44" s="130"/>
      <c r="L44" s="130"/>
      <c r="M44" s="130"/>
      <c r="N44" s="130"/>
      <c r="O44" s="130"/>
      <c r="P44" s="165" t="s">
        <v>1110</v>
      </c>
      <c r="Q44"/>
      <c r="R44"/>
      <c r="S44"/>
    </row>
    <row r="45" spans="1:20" ht="15.75" customHeight="1">
      <c r="A45" s="2" t="s">
        <v>98</v>
      </c>
      <c r="B45" s="182" t="s">
        <v>1147</v>
      </c>
      <c r="D45" s="165" t="s">
        <v>45</v>
      </c>
      <c r="E45" s="130"/>
      <c r="F45" s="1158" t="s">
        <v>1109</v>
      </c>
      <c r="G45" s="1159"/>
      <c r="H45" s="1158" t="s">
        <v>1109</v>
      </c>
      <c r="I45" s="1160"/>
      <c r="J45" s="1158" t="s">
        <v>1109</v>
      </c>
      <c r="K45" s="1160"/>
      <c r="L45" s="1158" t="s">
        <v>1109</v>
      </c>
      <c r="M45" s="1160"/>
      <c r="N45" s="1158" t="s">
        <v>1109</v>
      </c>
      <c r="O45" s="1160"/>
      <c r="P45" s="165" t="s">
        <v>101</v>
      </c>
      <c r="Q45"/>
      <c r="R45"/>
      <c r="S45"/>
    </row>
    <row r="46" spans="1:20" ht="15.75" customHeight="1">
      <c r="A46" s="9" t="s">
        <v>104</v>
      </c>
      <c r="B46" s="183" t="s">
        <v>224</v>
      </c>
      <c r="C46" s="6"/>
      <c r="D46" s="862" t="s">
        <v>553</v>
      </c>
      <c r="E46" s="1161"/>
      <c r="F46" s="862" t="s">
        <v>622</v>
      </c>
      <c r="G46" s="1162" t="s">
        <v>332</v>
      </c>
      <c r="H46" s="862" t="s">
        <v>479</v>
      </c>
      <c r="I46" s="1162" t="s">
        <v>332</v>
      </c>
      <c r="J46" s="862" t="s">
        <v>480</v>
      </c>
      <c r="K46" s="1162" t="s">
        <v>332</v>
      </c>
      <c r="L46" s="862" t="s">
        <v>481</v>
      </c>
      <c r="M46" s="1162" t="s">
        <v>332</v>
      </c>
      <c r="N46" s="862" t="s">
        <v>482</v>
      </c>
      <c r="O46" s="1162" t="s">
        <v>332</v>
      </c>
      <c r="P46" s="862" t="s">
        <v>486</v>
      </c>
      <c r="Q46"/>
      <c r="R46"/>
      <c r="S46"/>
    </row>
    <row r="47" spans="1:20" ht="15.75" customHeight="1">
      <c r="B47" s="119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/>
      <c r="R47"/>
      <c r="S47"/>
    </row>
    <row r="48" spans="1:20" ht="15.75" customHeight="1">
      <c r="A48" s="829">
        <f>A42+1</f>
        <v>29</v>
      </c>
      <c r="B48" s="822">
        <v>7590</v>
      </c>
      <c r="C48" s="1" t="s">
        <v>115</v>
      </c>
      <c r="D48" s="823">
        <f>'C.2.1 B'!D37</f>
        <v>0</v>
      </c>
      <c r="E48" s="823"/>
      <c r="F48" s="823" t="e">
        <f>SUMIF('[12]Div 9 forecast'!$C$8:$C$421,$B48, '[12]Div 9 forecast'!$AL$8:$AL$421)</f>
        <v>#VALUE!</v>
      </c>
      <c r="G48" s="809"/>
      <c r="H48" s="823" t="e">
        <f>SUMIF('[12]Div 9 forecast'!$C$8:$C$421,$B48, '[12]Div 9 forecast'!$AM$8:$AM$421)</f>
        <v>#VALUE!</v>
      </c>
      <c r="I48" s="823"/>
      <c r="J48" s="823" t="e">
        <f>SUMIF('[12]Div 9 forecast'!$C$8:$C$421,$B48, '[12]Div 9 forecast'!$AN$8:$AN$421)</f>
        <v>#VALUE!</v>
      </c>
      <c r="K48" s="823"/>
      <c r="L48" s="823">
        <v>0</v>
      </c>
      <c r="M48" s="823"/>
      <c r="N48" s="823">
        <v>0</v>
      </c>
      <c r="O48" s="1163"/>
      <c r="P48" s="823" t="e">
        <f t="shared" ref="P48:P93" si="1">SUM(F48:O48)</f>
        <v>#VALUE!</v>
      </c>
      <c r="Q48"/>
      <c r="R48"/>
      <c r="S48"/>
      <c r="T48" s="822"/>
    </row>
    <row r="49" spans="1:21" ht="15.75" customHeight="1">
      <c r="A49" s="1011">
        <f t="shared" ref="A49:A93" si="2">A48+1</f>
        <v>30</v>
      </c>
      <c r="B49" s="822">
        <v>8140</v>
      </c>
      <c r="C49" s="1" t="s">
        <v>115</v>
      </c>
      <c r="D49" s="823">
        <f>'C.2.1 B'!D44</f>
        <v>-293.22558970371978</v>
      </c>
      <c r="E49" s="823"/>
      <c r="F49" s="823" t="e">
        <f>SUMIF('[12]Div 9 forecast'!$C$8:$C$421,$B49, '[12]Div 9 forecast'!$AL$8:$AL$421)</f>
        <v>#VALUE!</v>
      </c>
      <c r="G49" s="809"/>
      <c r="H49" s="823" t="e">
        <f>SUMIF('[12]Div 9 forecast'!$C$8:$C$421,$B49, '[12]Div 9 forecast'!$AM$8:$AM$421)</f>
        <v>#VALUE!</v>
      </c>
      <c r="I49" s="823"/>
      <c r="J49" s="823" t="e">
        <f>SUMIF('[12]Div 9 forecast'!$C$8:$C$421,$B49, '[12]Div 9 forecast'!$AN$8:$AN$421)</f>
        <v>#VALUE!</v>
      </c>
      <c r="K49" s="823"/>
      <c r="L49" s="823">
        <v>0</v>
      </c>
      <c r="M49" s="823"/>
      <c r="N49" s="823"/>
      <c r="O49" s="1163"/>
      <c r="P49" s="823" t="e">
        <f t="shared" si="1"/>
        <v>#VALUE!</v>
      </c>
      <c r="Q49"/>
      <c r="R49"/>
      <c r="S49"/>
      <c r="T49" s="822"/>
    </row>
    <row r="50" spans="1:21" ht="15.75" customHeight="1">
      <c r="A50" s="1011">
        <f t="shared" si="2"/>
        <v>31</v>
      </c>
      <c r="B50" s="822">
        <v>8150</v>
      </c>
      <c r="C50" s="1" t="s">
        <v>236</v>
      </c>
      <c r="D50" s="823">
        <f>'C.2.1 B'!D45</f>
        <v>0</v>
      </c>
      <c r="E50" s="823"/>
      <c r="F50" s="823" t="e">
        <f>SUMIF('[12]Div 9 forecast'!$C$8:$C$421,$B50, '[12]Div 9 forecast'!$AL$8:$AL$421)</f>
        <v>#VALUE!</v>
      </c>
      <c r="G50" s="809"/>
      <c r="H50" s="823" t="e">
        <f>SUMIF('[12]Div 9 forecast'!$C$8:$C$421,$B50, '[12]Div 9 forecast'!$AM$8:$AM$421)</f>
        <v>#VALUE!</v>
      </c>
      <c r="I50" s="823"/>
      <c r="J50" s="823" t="e">
        <f>SUMIF('[12]Div 9 forecast'!$C$8:$C$421,$B50, '[12]Div 9 forecast'!$AN$8:$AN$421)</f>
        <v>#VALUE!</v>
      </c>
      <c r="K50" s="823"/>
      <c r="L50" s="823">
        <v>0</v>
      </c>
      <c r="M50" s="823"/>
      <c r="N50" s="823">
        <v>0</v>
      </c>
      <c r="O50" s="1163"/>
      <c r="P50" s="823" t="e">
        <f t="shared" si="1"/>
        <v>#VALUE!</v>
      </c>
      <c r="Q50"/>
      <c r="R50"/>
      <c r="S50"/>
      <c r="T50" s="822"/>
    </row>
    <row r="51" spans="1:21" ht="15.75" customHeight="1">
      <c r="A51" s="1011">
        <f t="shared" si="2"/>
        <v>32</v>
      </c>
      <c r="B51" s="822">
        <v>8160</v>
      </c>
      <c r="C51" s="1" t="s">
        <v>116</v>
      </c>
      <c r="D51" s="823">
        <f>'C.2.1 B'!D46</f>
        <v>95658.498736967915</v>
      </c>
      <c r="E51" s="823"/>
      <c r="F51" s="823" t="e">
        <f>SUMIF('[12]Div 9 forecast'!$C$8:$C$421,$B51, '[12]Div 9 forecast'!$AL$8:$AL$421)</f>
        <v>#VALUE!</v>
      </c>
      <c r="G51" s="809"/>
      <c r="H51" s="823" t="e">
        <f>SUMIF('[12]Div 9 forecast'!$C$8:$C$421,$B51, '[12]Div 9 forecast'!$AM$8:$AM$421)</f>
        <v>#VALUE!</v>
      </c>
      <c r="I51" s="823"/>
      <c r="J51" s="823" t="e">
        <f>SUMIF('[12]Div 9 forecast'!$C$8:$C$421,$B51, '[12]Div 9 forecast'!$AN$8:$AN$421)</f>
        <v>#VALUE!</v>
      </c>
      <c r="K51" s="823"/>
      <c r="L51" s="823">
        <v>0</v>
      </c>
      <c r="M51" s="823"/>
      <c r="N51" s="823">
        <v>0</v>
      </c>
      <c r="O51" s="823"/>
      <c r="P51" s="823" t="e">
        <f t="shared" si="1"/>
        <v>#VALUE!</v>
      </c>
      <c r="Q51"/>
      <c r="R51"/>
      <c r="S51"/>
      <c r="T51" s="822"/>
      <c r="U51" s="822"/>
    </row>
    <row r="52" spans="1:21" ht="15.75" customHeight="1">
      <c r="A52" s="829">
        <f t="shared" si="2"/>
        <v>33</v>
      </c>
      <c r="B52" s="822">
        <v>8170</v>
      </c>
      <c r="C52" s="1" t="s">
        <v>1213</v>
      </c>
      <c r="D52" s="823">
        <f>'C.2.1 B'!D47</f>
        <v>36987.207044918017</v>
      </c>
      <c r="E52" s="823"/>
      <c r="F52" s="823" t="e">
        <f>SUMIF('[12]Div 9 forecast'!$C$8:$C$421,$B52, '[12]Div 9 forecast'!$AL$8:$AL$421)</f>
        <v>#VALUE!</v>
      </c>
      <c r="G52" s="809"/>
      <c r="H52" s="823" t="e">
        <f>SUMIF('[12]Div 9 forecast'!$C$8:$C$421,$B52, '[12]Div 9 forecast'!$AM$8:$AM$421)</f>
        <v>#VALUE!</v>
      </c>
      <c r="I52" s="823"/>
      <c r="J52" s="823" t="e">
        <f>SUMIF('[12]Div 9 forecast'!$C$8:$C$421,$B52, '[12]Div 9 forecast'!$AN$8:$AN$421)</f>
        <v>#VALUE!</v>
      </c>
      <c r="K52" s="823"/>
      <c r="L52" s="823">
        <v>0</v>
      </c>
      <c r="M52" s="823"/>
      <c r="N52" s="823">
        <v>0</v>
      </c>
      <c r="O52" s="823"/>
      <c r="P52" s="823" t="e">
        <f t="shared" si="1"/>
        <v>#VALUE!</v>
      </c>
      <c r="Q52"/>
      <c r="R52"/>
      <c r="S52"/>
      <c r="T52" s="822"/>
      <c r="U52" s="822"/>
    </row>
    <row r="53" spans="1:21" ht="15.75" customHeight="1">
      <c r="A53" s="829">
        <f t="shared" si="2"/>
        <v>34</v>
      </c>
      <c r="B53" s="822">
        <v>8180</v>
      </c>
      <c r="C53" s="1" t="s">
        <v>1214</v>
      </c>
      <c r="D53" s="823">
        <f>'C.2.1 B'!D48</f>
        <v>27287.909578191509</v>
      </c>
      <c r="E53" s="823"/>
      <c r="F53" s="823" t="e">
        <f>SUMIF('[12]Div 9 forecast'!$C$8:$C$421,$B53, '[12]Div 9 forecast'!$AL$8:$AL$421)</f>
        <v>#VALUE!</v>
      </c>
      <c r="G53" s="809"/>
      <c r="H53" s="823" t="e">
        <f>SUMIF('[12]Div 9 forecast'!$C$8:$C$421,$B53, '[12]Div 9 forecast'!$AM$8:$AM$421)</f>
        <v>#VALUE!</v>
      </c>
      <c r="I53" s="823"/>
      <c r="J53" s="823" t="e">
        <f>SUMIF('[12]Div 9 forecast'!$C$8:$C$421,$B53, '[12]Div 9 forecast'!$AN$8:$AN$421)</f>
        <v>#VALUE!</v>
      </c>
      <c r="K53" s="823"/>
      <c r="L53" s="823">
        <v>0</v>
      </c>
      <c r="M53" s="823"/>
      <c r="N53" s="823">
        <v>0</v>
      </c>
      <c r="O53" s="823"/>
      <c r="P53" s="823" t="e">
        <f t="shared" si="1"/>
        <v>#VALUE!</v>
      </c>
      <c r="Q53"/>
      <c r="R53"/>
      <c r="S53"/>
      <c r="T53" s="822"/>
      <c r="U53" s="822"/>
    </row>
    <row r="54" spans="1:21" ht="15.75" customHeight="1">
      <c r="A54" s="829">
        <f t="shared" si="2"/>
        <v>35</v>
      </c>
      <c r="B54" s="822">
        <v>8190</v>
      </c>
      <c r="C54" s="1" t="s">
        <v>1061</v>
      </c>
      <c r="D54" s="823">
        <f>'C.2.1 B'!D49</f>
        <v>766.79321818353617</v>
      </c>
      <c r="E54" s="823"/>
      <c r="F54" s="823" t="e">
        <f>SUMIF('[12]Div 9 forecast'!$C$8:$C$421,$B54, '[12]Div 9 forecast'!$AL$8:$AL$421)</f>
        <v>#VALUE!</v>
      </c>
      <c r="G54" s="809"/>
      <c r="H54" s="823" t="e">
        <f>SUMIF('[12]Div 9 forecast'!$C$8:$C$421,$B54, '[12]Div 9 forecast'!$AM$8:$AM$421)</f>
        <v>#VALUE!</v>
      </c>
      <c r="I54" s="823"/>
      <c r="J54" s="823" t="e">
        <f>SUMIF('[12]Div 9 forecast'!$C$8:$C$421,$B54, '[12]Div 9 forecast'!$AN$8:$AN$421)</f>
        <v>#VALUE!</v>
      </c>
      <c r="K54" s="823"/>
      <c r="L54" s="823">
        <v>0</v>
      </c>
      <c r="M54" s="823"/>
      <c r="N54" s="823">
        <v>0</v>
      </c>
      <c r="O54" s="823"/>
      <c r="P54" s="823" t="e">
        <f t="shared" si="1"/>
        <v>#VALUE!</v>
      </c>
      <c r="Q54"/>
      <c r="R54"/>
      <c r="S54"/>
      <c r="T54" s="822"/>
      <c r="U54" s="822"/>
    </row>
    <row r="55" spans="1:21" ht="15.75" customHeight="1">
      <c r="A55" s="829">
        <f t="shared" si="2"/>
        <v>36</v>
      </c>
      <c r="B55" s="822">
        <v>8200</v>
      </c>
      <c r="C55" s="1" t="s">
        <v>1062</v>
      </c>
      <c r="D55" s="823">
        <f>'C.2.1 B'!D50</f>
        <v>2891.6737903019375</v>
      </c>
      <c r="E55" s="823"/>
      <c r="F55" s="823" t="e">
        <f>SUMIF('[12]Div 9 forecast'!$C$8:$C$421,$B55, '[12]Div 9 forecast'!$AL$8:$AL$421)</f>
        <v>#VALUE!</v>
      </c>
      <c r="G55" s="809"/>
      <c r="H55" s="823" t="e">
        <f>SUMIF('[12]Div 9 forecast'!$C$8:$C$421,$B55, '[12]Div 9 forecast'!$AM$8:$AM$421)</f>
        <v>#VALUE!</v>
      </c>
      <c r="I55" s="823"/>
      <c r="J55" s="823" t="e">
        <f>SUMIF('[12]Div 9 forecast'!$C$8:$C$421,$B55, '[12]Div 9 forecast'!$AN$8:$AN$421)</f>
        <v>#VALUE!</v>
      </c>
      <c r="K55" s="823"/>
      <c r="L55" s="823">
        <v>0</v>
      </c>
      <c r="M55" s="823"/>
      <c r="N55" s="823">
        <v>0</v>
      </c>
      <c r="O55" s="823"/>
      <c r="P55" s="823" t="e">
        <f t="shared" si="1"/>
        <v>#VALUE!</v>
      </c>
      <c r="Q55"/>
      <c r="R55"/>
      <c r="S55"/>
      <c r="T55" s="822"/>
      <c r="U55" s="822"/>
    </row>
    <row r="56" spans="1:21" ht="15.75" customHeight="1">
      <c r="A56" s="829">
        <f t="shared" si="2"/>
        <v>37</v>
      </c>
      <c r="B56" s="822">
        <v>8210</v>
      </c>
      <c r="C56" s="1" t="s">
        <v>1063</v>
      </c>
      <c r="D56" s="823">
        <f>'C.2.1 B'!D51</f>
        <v>49076.54180949743</v>
      </c>
      <c r="E56" s="823"/>
      <c r="F56" s="823" t="e">
        <f>SUMIF('[12]Div 9 forecast'!$C$8:$C$421,$B56, '[12]Div 9 forecast'!$AL$8:$AL$421)</f>
        <v>#VALUE!</v>
      </c>
      <c r="G56" s="809"/>
      <c r="H56" s="823" t="e">
        <f>SUMIF('[12]Div 9 forecast'!$C$8:$C$421,$B56, '[12]Div 9 forecast'!$AM$8:$AM$421)</f>
        <v>#VALUE!</v>
      </c>
      <c r="I56" s="1163"/>
      <c r="J56" s="823" t="e">
        <f>SUMIF('[12]Div 9 forecast'!$C$8:$C$421,$B56, '[12]Div 9 forecast'!$AN$8:$AN$421)</f>
        <v>#VALUE!</v>
      </c>
      <c r="K56" s="823"/>
      <c r="L56" s="823">
        <v>0</v>
      </c>
      <c r="M56" s="823"/>
      <c r="N56" s="823">
        <v>0</v>
      </c>
      <c r="O56" s="823"/>
      <c r="P56" s="823" t="e">
        <f t="shared" si="1"/>
        <v>#VALUE!</v>
      </c>
      <c r="Q56"/>
      <c r="R56"/>
      <c r="S56"/>
      <c r="T56" s="822"/>
      <c r="U56" s="822"/>
    </row>
    <row r="57" spans="1:21" ht="15.75" customHeight="1">
      <c r="A57" s="829">
        <f t="shared" si="2"/>
        <v>38</v>
      </c>
      <c r="B57" s="822">
        <v>8240</v>
      </c>
      <c r="C57" s="1" t="s">
        <v>1064</v>
      </c>
      <c r="D57" s="823">
        <f>'C.2.1 B'!D52</f>
        <v>1397.6331672799963</v>
      </c>
      <c r="E57" s="823"/>
      <c r="F57" s="823" t="e">
        <f>SUMIF('[12]Div 9 forecast'!$C$8:$C$421,$B57, '[12]Div 9 forecast'!$AL$8:$AL$421)</f>
        <v>#VALUE!</v>
      </c>
      <c r="G57" s="809"/>
      <c r="H57" s="823" t="e">
        <f>SUMIF('[12]Div 9 forecast'!$C$8:$C$421,$B57, '[12]Div 9 forecast'!$AM$8:$AM$421)</f>
        <v>#VALUE!</v>
      </c>
      <c r="I57" s="1163"/>
      <c r="J57" s="823" t="e">
        <f>SUMIF('[12]Div 9 forecast'!$C$8:$C$421,$B57, '[12]Div 9 forecast'!$AN$8:$AN$421)</f>
        <v>#VALUE!</v>
      </c>
      <c r="K57" s="1163"/>
      <c r="L57" s="823">
        <v>0</v>
      </c>
      <c r="M57" s="1163"/>
      <c r="N57" s="823">
        <v>0</v>
      </c>
      <c r="O57" s="823"/>
      <c r="P57" s="823" t="e">
        <f t="shared" si="1"/>
        <v>#VALUE!</v>
      </c>
      <c r="Q57"/>
      <c r="R57"/>
      <c r="S57"/>
      <c r="T57" s="822"/>
      <c r="U57" s="822"/>
    </row>
    <row r="58" spans="1:21" ht="15.75" customHeight="1">
      <c r="A58" s="829">
        <f t="shared" si="2"/>
        <v>39</v>
      </c>
      <c r="B58" s="822">
        <v>8250</v>
      </c>
      <c r="C58" s="1" t="s">
        <v>1065</v>
      </c>
      <c r="D58" s="823">
        <f>'C.2.1 B'!D53</f>
        <v>8589.4005238101036</v>
      </c>
      <c r="E58" s="823"/>
      <c r="F58" s="823" t="e">
        <f>SUMIF('[12]Div 9 forecast'!$C$8:$C$421,$B58, '[12]Div 9 forecast'!$AL$8:$AL$421)</f>
        <v>#VALUE!</v>
      </c>
      <c r="G58" s="809"/>
      <c r="H58" s="823" t="e">
        <f>SUMIF('[12]Div 9 forecast'!$C$8:$C$421,$B58, '[12]Div 9 forecast'!$AM$8:$AM$421)</f>
        <v>#VALUE!</v>
      </c>
      <c r="I58" s="1163"/>
      <c r="J58" s="823" t="e">
        <f>SUMIF('[12]Div 9 forecast'!$C$8:$C$421,$B58, '[12]Div 9 forecast'!$AN$8:$AN$421)</f>
        <v>#VALUE!</v>
      </c>
      <c r="K58" s="1163"/>
      <c r="L58" s="823">
        <v>0</v>
      </c>
      <c r="M58" s="1163"/>
      <c r="N58" s="823">
        <v>0</v>
      </c>
      <c r="O58" s="1163"/>
      <c r="P58" s="823" t="e">
        <f t="shared" si="1"/>
        <v>#VALUE!</v>
      </c>
      <c r="Q58"/>
      <c r="R58"/>
      <c r="S58"/>
      <c r="T58" s="822"/>
      <c r="U58" s="822"/>
    </row>
    <row r="59" spans="1:21" ht="15.75" customHeight="1">
      <c r="A59" s="829">
        <f t="shared" si="2"/>
        <v>40</v>
      </c>
      <c r="B59" s="822">
        <v>8310</v>
      </c>
      <c r="C59" s="1" t="s">
        <v>1066</v>
      </c>
      <c r="D59" s="823">
        <f>'C.2.1 B'!D57</f>
        <v>4134.987636044435</v>
      </c>
      <c r="E59" s="823"/>
      <c r="F59" s="823" t="e">
        <f>SUMIF('[12]Div 9 forecast'!$C$8:$C$421,$B59, '[12]Div 9 forecast'!$AL$8:$AL$421)</f>
        <v>#VALUE!</v>
      </c>
      <c r="G59" s="809"/>
      <c r="H59" s="823" t="e">
        <f>SUMIF('[12]Div 9 forecast'!$C$8:$C$421,$B59, '[12]Div 9 forecast'!$AM$8:$AM$421)</f>
        <v>#VALUE!</v>
      </c>
      <c r="I59" s="1163"/>
      <c r="J59" s="823" t="e">
        <f>SUMIF('[12]Div 9 forecast'!$C$8:$C$421,$B59, '[12]Div 9 forecast'!$AN$8:$AN$421)</f>
        <v>#VALUE!</v>
      </c>
      <c r="K59" s="1163"/>
      <c r="L59" s="823">
        <v>0</v>
      </c>
      <c r="M59" s="1163"/>
      <c r="N59" s="823">
        <v>0</v>
      </c>
      <c r="O59" s="823"/>
      <c r="P59" s="823" t="e">
        <f t="shared" si="1"/>
        <v>#VALUE!</v>
      </c>
      <c r="Q59"/>
      <c r="R59"/>
      <c r="S59"/>
      <c r="T59" s="822"/>
      <c r="U59" s="822"/>
    </row>
    <row r="60" spans="1:21" ht="15.75" customHeight="1">
      <c r="A60" s="829">
        <f t="shared" si="2"/>
        <v>41</v>
      </c>
      <c r="B60" s="822">
        <v>8320</v>
      </c>
      <c r="C60" s="1" t="s">
        <v>1067</v>
      </c>
      <c r="D60" s="823">
        <f>'C.2.1 B'!D58</f>
        <v>0</v>
      </c>
      <c r="E60" s="823"/>
      <c r="F60" s="823" t="e">
        <f>SUMIF('[12]Div 9 forecast'!$C$8:$C$421,$B60, '[12]Div 9 forecast'!$AL$8:$AL$421)</f>
        <v>#VALUE!</v>
      </c>
      <c r="G60" s="809"/>
      <c r="H60" s="823" t="e">
        <f>SUMIF('[12]Div 9 forecast'!$C$8:$C$421,$B60, '[12]Div 9 forecast'!$AM$8:$AM$421)</f>
        <v>#VALUE!</v>
      </c>
      <c r="I60" s="1163"/>
      <c r="J60" s="823" t="e">
        <f>SUMIF('[12]Div 9 forecast'!$C$8:$C$421,$B60, '[12]Div 9 forecast'!$AN$8:$AN$421)</f>
        <v>#VALUE!</v>
      </c>
      <c r="K60" s="1163"/>
      <c r="L60" s="823">
        <v>0</v>
      </c>
      <c r="M60" s="1163"/>
      <c r="N60" s="823">
        <v>0</v>
      </c>
      <c r="O60" s="1163"/>
      <c r="P60" s="823" t="e">
        <f t="shared" si="1"/>
        <v>#VALUE!</v>
      </c>
      <c r="Q60"/>
      <c r="R60"/>
      <c r="S60"/>
      <c r="T60" s="822"/>
      <c r="U60" s="822"/>
    </row>
    <row r="61" spans="1:21" ht="15.75" customHeight="1">
      <c r="A61" s="829">
        <f t="shared" si="2"/>
        <v>42</v>
      </c>
      <c r="B61" s="822">
        <v>8340</v>
      </c>
      <c r="C61" s="1" t="s">
        <v>398</v>
      </c>
      <c r="D61" s="823">
        <f>'C.2.1 B'!D59</f>
        <v>3306.5601619777976</v>
      </c>
      <c r="E61" s="823"/>
      <c r="F61" s="823" t="e">
        <f>SUMIF('[12]Div 9 forecast'!$C$8:$C$421,$B61, '[12]Div 9 forecast'!$AL$8:$AL$421)</f>
        <v>#VALUE!</v>
      </c>
      <c r="G61" s="809"/>
      <c r="H61" s="823" t="e">
        <f>SUMIF('[12]Div 9 forecast'!$C$8:$C$421,$B61, '[12]Div 9 forecast'!$AM$8:$AM$421)</f>
        <v>#VALUE!</v>
      </c>
      <c r="I61" s="1163"/>
      <c r="J61" s="823" t="e">
        <f>SUMIF('[12]Div 9 forecast'!$C$8:$C$421,$B61, '[12]Div 9 forecast'!$AN$8:$AN$421)</f>
        <v>#VALUE!</v>
      </c>
      <c r="K61" s="1163"/>
      <c r="L61" s="823">
        <v>0</v>
      </c>
      <c r="M61" s="1163"/>
      <c r="N61" s="823">
        <v>0</v>
      </c>
      <c r="O61" s="823"/>
      <c r="P61" s="823" t="e">
        <f t="shared" si="1"/>
        <v>#VALUE!</v>
      </c>
      <c r="Q61"/>
      <c r="R61"/>
      <c r="S61"/>
      <c r="T61" s="822"/>
      <c r="U61" s="822"/>
    </row>
    <row r="62" spans="1:21" ht="15.75" customHeight="1">
      <c r="A62" s="829">
        <f t="shared" si="2"/>
        <v>43</v>
      </c>
      <c r="B62" s="822">
        <v>8350</v>
      </c>
      <c r="C62" s="1" t="s">
        <v>240</v>
      </c>
      <c r="D62" s="823">
        <f>'C.2.1 B'!D60</f>
        <v>2428.3798467142192</v>
      </c>
      <c r="E62" s="823"/>
      <c r="F62" s="823" t="e">
        <f>SUMIF('[12]Div 9 forecast'!$C$8:$C$421,$B62, '[12]Div 9 forecast'!$AL$8:$AL$421)</f>
        <v>#VALUE!</v>
      </c>
      <c r="G62" s="809"/>
      <c r="H62" s="823" t="e">
        <f>SUMIF('[12]Div 9 forecast'!$C$8:$C$421,$B62, '[12]Div 9 forecast'!$AM$8:$AM$421)</f>
        <v>#VALUE!</v>
      </c>
      <c r="I62" s="1163"/>
      <c r="J62" s="823" t="e">
        <f>SUMIF('[12]Div 9 forecast'!$C$8:$C$421,$B62, '[12]Div 9 forecast'!$AN$8:$AN$421)</f>
        <v>#VALUE!</v>
      </c>
      <c r="K62" s="823"/>
      <c r="L62" s="823">
        <v>0</v>
      </c>
      <c r="M62" s="1163"/>
      <c r="N62" s="823">
        <v>0</v>
      </c>
      <c r="O62" s="1163"/>
      <c r="P62" s="823" t="e">
        <f t="shared" si="1"/>
        <v>#VALUE!</v>
      </c>
      <c r="Q62"/>
      <c r="R62"/>
      <c r="S62"/>
      <c r="T62" s="822"/>
      <c r="U62" s="822"/>
    </row>
    <row r="63" spans="1:21" ht="15.75" customHeight="1">
      <c r="A63" s="829">
        <f t="shared" si="2"/>
        <v>44</v>
      </c>
      <c r="B63" s="822">
        <v>8360</v>
      </c>
      <c r="C63" s="1" t="s">
        <v>241</v>
      </c>
      <c r="D63" s="823">
        <f>'C.2.1 B'!D61</f>
        <v>247.95867076704832</v>
      </c>
      <c r="E63" s="823"/>
      <c r="F63" s="823" t="e">
        <f>SUMIF('[12]Div 9 forecast'!$C$8:$C$421,$B63, '[12]Div 9 forecast'!$AL$8:$AL$421)</f>
        <v>#VALUE!</v>
      </c>
      <c r="G63" s="809"/>
      <c r="H63" s="823" t="e">
        <f>SUMIF('[12]Div 9 forecast'!$C$8:$C$421,$B63, '[12]Div 9 forecast'!$AM$8:$AM$421)</f>
        <v>#VALUE!</v>
      </c>
      <c r="I63" s="1163"/>
      <c r="J63" s="823" t="e">
        <f>SUMIF('[12]Div 9 forecast'!$C$8:$C$421,$B63, '[12]Div 9 forecast'!$AN$8:$AN$421)</f>
        <v>#VALUE!</v>
      </c>
      <c r="K63" s="823"/>
      <c r="L63" s="823">
        <v>0</v>
      </c>
      <c r="M63" s="1163"/>
      <c r="N63" s="823">
        <v>0</v>
      </c>
      <c r="O63" s="1163"/>
      <c r="P63" s="823" t="e">
        <f t="shared" si="1"/>
        <v>#VALUE!</v>
      </c>
      <c r="Q63"/>
      <c r="R63"/>
      <c r="S63"/>
      <c r="T63" s="822"/>
      <c r="U63" s="822"/>
    </row>
    <row r="64" spans="1:21" ht="15.75" customHeight="1">
      <c r="A64" s="1011">
        <f t="shared" si="2"/>
        <v>45</v>
      </c>
      <c r="B64" s="822">
        <v>8370</v>
      </c>
      <c r="C64" s="95" t="s">
        <v>1433</v>
      </c>
      <c r="D64" s="823">
        <f>'C.2.1 B'!D62</f>
        <v>0</v>
      </c>
      <c r="E64" s="823"/>
      <c r="F64" s="823" t="e">
        <f>SUMIF('[12]Div 9 forecast'!$C$8:$C$421,$B64, '[12]Div 9 forecast'!$AL$8:$AL$421)</f>
        <v>#VALUE!</v>
      </c>
      <c r="G64" s="809"/>
      <c r="H64" s="823" t="e">
        <f>SUMIF('[12]Div 9 forecast'!$C$8:$C$421,$B64, '[12]Div 9 forecast'!$AM$8:$AM$421)</f>
        <v>#VALUE!</v>
      </c>
      <c r="I64" s="1163"/>
      <c r="J64" s="823" t="e">
        <f>SUMIF('[12]Div 9 forecast'!$C$8:$C$421,$B64, '[12]Div 9 forecast'!$AN$8:$AN$421)</f>
        <v>#VALUE!</v>
      </c>
      <c r="K64" s="823"/>
      <c r="L64" s="823">
        <v>0</v>
      </c>
      <c r="M64" s="1163"/>
      <c r="N64" s="823"/>
      <c r="O64" s="1163"/>
      <c r="P64" s="823" t="e">
        <f t="shared" si="1"/>
        <v>#VALUE!</v>
      </c>
      <c r="Q64"/>
      <c r="R64"/>
      <c r="S64"/>
      <c r="T64" s="822"/>
      <c r="U64" s="822"/>
    </row>
    <row r="65" spans="1:21" ht="15.75" customHeight="1">
      <c r="A65" s="1011">
        <f t="shared" si="2"/>
        <v>46</v>
      </c>
      <c r="B65" s="822">
        <v>8400</v>
      </c>
      <c r="C65" s="1" t="s">
        <v>488</v>
      </c>
      <c r="D65" s="823">
        <v>0</v>
      </c>
      <c r="E65" s="823"/>
      <c r="F65" s="823" t="e">
        <f>SUMIF('[12]Div 9 forecast'!$C$8:$C$421,$B65, '[12]Div 9 forecast'!$AL$8:$AL$421)</f>
        <v>#VALUE!</v>
      </c>
      <c r="G65" s="809"/>
      <c r="H65" s="823" t="e">
        <f>SUMIF('[12]Div 9 forecast'!$C$8:$C$421,$B65, '[12]Div 9 forecast'!$AM$8:$AM$421)</f>
        <v>#VALUE!</v>
      </c>
      <c r="I65" s="1163"/>
      <c r="J65" s="823" t="e">
        <f>SUMIF('[12]Div 9 forecast'!$C$8:$C$421,$B65, '[12]Div 9 forecast'!$AN$8:$AN$421)</f>
        <v>#VALUE!</v>
      </c>
      <c r="K65" s="823"/>
      <c r="L65" s="823">
        <v>0</v>
      </c>
      <c r="M65" s="1163"/>
      <c r="N65" s="823">
        <v>0</v>
      </c>
      <c r="O65" s="1163"/>
      <c r="P65" s="823" t="e">
        <f t="shared" si="1"/>
        <v>#VALUE!</v>
      </c>
      <c r="Q65"/>
      <c r="R65"/>
      <c r="S65"/>
      <c r="T65" s="822"/>
      <c r="U65" s="822"/>
    </row>
    <row r="66" spans="1:21" ht="15.75" customHeight="1">
      <c r="A66" s="1011">
        <f t="shared" si="2"/>
        <v>47</v>
      </c>
      <c r="B66" s="822">
        <v>8410</v>
      </c>
      <c r="C66" s="1" t="s">
        <v>242</v>
      </c>
      <c r="D66" s="823">
        <f>'C.2.1 B'!D63</f>
        <v>129928.23603452992</v>
      </c>
      <c r="E66" s="823"/>
      <c r="F66" s="823" t="e">
        <f>SUMIF('[12]Div 9 forecast'!$C$8:$C$421,$B66, '[12]Div 9 forecast'!$AL$8:$AL$421)</f>
        <v>#VALUE!</v>
      </c>
      <c r="G66" s="809"/>
      <c r="H66" s="823" t="e">
        <f>SUMIF('[12]Div 9 forecast'!$C$8:$C$421,$B66, '[12]Div 9 forecast'!$AM$8:$AM$421)</f>
        <v>#VALUE!</v>
      </c>
      <c r="I66" s="1163"/>
      <c r="J66" s="823" t="e">
        <f>SUMIF('[12]Div 9 forecast'!$C$8:$C$421,$B66, '[12]Div 9 forecast'!$AN$8:$AN$421)</f>
        <v>#VALUE!</v>
      </c>
      <c r="K66" s="823"/>
      <c r="L66" s="823">
        <v>0</v>
      </c>
      <c r="M66" s="1163"/>
      <c r="N66" s="823">
        <v>0</v>
      </c>
      <c r="O66" s="1163"/>
      <c r="P66" s="823" t="e">
        <f t="shared" si="1"/>
        <v>#VALUE!</v>
      </c>
      <c r="Q66"/>
      <c r="R66"/>
      <c r="S66"/>
      <c r="T66" s="822"/>
      <c r="U66" s="822"/>
    </row>
    <row r="67" spans="1:21" ht="15.75" customHeight="1">
      <c r="A67" s="829">
        <f t="shared" si="2"/>
        <v>48</v>
      </c>
      <c r="B67" s="822">
        <v>8470</v>
      </c>
      <c r="C67" s="1" t="s">
        <v>243</v>
      </c>
      <c r="D67" s="823">
        <v>0</v>
      </c>
      <c r="E67" s="823"/>
      <c r="F67" s="823" t="e">
        <f>SUMIF('[12]Div 9 forecast'!$C$8:$C$421,$B67, '[12]Div 9 forecast'!$AL$8:$AL$421)</f>
        <v>#VALUE!</v>
      </c>
      <c r="G67" s="809"/>
      <c r="H67" s="823" t="e">
        <f>SUMIF('[12]Div 9 forecast'!$C$8:$C$421,$B67, '[12]Div 9 forecast'!$AM$8:$AM$421)</f>
        <v>#VALUE!</v>
      </c>
      <c r="I67" s="1163"/>
      <c r="J67" s="823" t="e">
        <f>SUMIF('[12]Div 9 forecast'!$C$8:$C$421,$B67, '[12]Div 9 forecast'!$AN$8:$AN$421)</f>
        <v>#VALUE!</v>
      </c>
      <c r="K67" s="823"/>
      <c r="L67" s="823">
        <v>0</v>
      </c>
      <c r="M67" s="1163"/>
      <c r="N67" s="823">
        <v>0</v>
      </c>
      <c r="O67" s="1163"/>
      <c r="P67" s="823" t="e">
        <f t="shared" si="1"/>
        <v>#VALUE!</v>
      </c>
      <c r="Q67"/>
      <c r="R67"/>
      <c r="S67"/>
      <c r="T67" s="822"/>
      <c r="U67" s="822"/>
    </row>
    <row r="68" spans="1:21" ht="15.75" customHeight="1">
      <c r="A68" s="829">
        <f t="shared" si="2"/>
        <v>49</v>
      </c>
      <c r="B68" s="822">
        <v>8500</v>
      </c>
      <c r="C68" s="1" t="s">
        <v>245</v>
      </c>
      <c r="D68" s="823">
        <f>'C.2.1 B'!D67</f>
        <v>0</v>
      </c>
      <c r="E68" s="823"/>
      <c r="F68" s="823" t="e">
        <f>SUMIF('[12]Div 9 forecast'!$C$8:$C$421,$B68, '[12]Div 9 forecast'!$AL$8:$AL$421)</f>
        <v>#VALUE!</v>
      </c>
      <c r="G68" s="809"/>
      <c r="H68" s="823" t="e">
        <f>SUMIF('[12]Div 9 forecast'!$C$8:$C$421,$B68, '[12]Div 9 forecast'!$AM$8:$AM$421)</f>
        <v>#VALUE!</v>
      </c>
      <c r="I68" s="1163"/>
      <c r="J68" s="823" t="e">
        <f>SUMIF('[12]Div 9 forecast'!$C$8:$C$421,$B68, '[12]Div 9 forecast'!$AN$8:$AN$421)</f>
        <v>#VALUE!</v>
      </c>
      <c r="K68" s="823"/>
      <c r="L68" s="823">
        <v>0</v>
      </c>
      <c r="M68" s="1163"/>
      <c r="N68" s="823">
        <v>0</v>
      </c>
      <c r="O68" s="1163"/>
      <c r="P68" s="823" t="e">
        <f t="shared" si="1"/>
        <v>#VALUE!</v>
      </c>
      <c r="Q68"/>
      <c r="R68"/>
      <c r="S68"/>
      <c r="T68" s="822"/>
      <c r="U68" s="822"/>
    </row>
    <row r="69" spans="1:21" ht="15.75" customHeight="1">
      <c r="A69" s="1011">
        <f t="shared" si="2"/>
        <v>50</v>
      </c>
      <c r="B69" s="822">
        <v>8520</v>
      </c>
      <c r="C69" s="119" t="s">
        <v>1434</v>
      </c>
      <c r="D69" s="823">
        <f>'C.2.1 B'!D68</f>
        <v>0</v>
      </c>
      <c r="E69" s="823"/>
      <c r="F69" s="823" t="e">
        <f>SUMIF('[12]Div 9 forecast'!$C$8:$C$421,$B69, '[12]Div 9 forecast'!$AL$8:$AL$421)</f>
        <v>#VALUE!</v>
      </c>
      <c r="G69" s="809"/>
      <c r="H69" s="823" t="e">
        <f>SUMIF('[12]Div 9 forecast'!$C$8:$C$421,$B69, '[12]Div 9 forecast'!$AM$8:$AM$421)</f>
        <v>#VALUE!</v>
      </c>
      <c r="I69" s="1163"/>
      <c r="J69" s="823" t="e">
        <f>SUMIF('[12]Div 9 forecast'!$C$8:$C$421,$B69, '[12]Div 9 forecast'!$AN$8:$AN$421)</f>
        <v>#VALUE!</v>
      </c>
      <c r="K69" s="823"/>
      <c r="L69" s="823">
        <v>0</v>
      </c>
      <c r="M69" s="1163"/>
      <c r="N69" s="823"/>
      <c r="O69" s="1163"/>
      <c r="P69" s="823" t="e">
        <f t="shared" si="1"/>
        <v>#VALUE!</v>
      </c>
      <c r="Q69"/>
      <c r="R69"/>
      <c r="S69"/>
      <c r="T69" s="822"/>
      <c r="U69" s="822"/>
    </row>
    <row r="70" spans="1:21" ht="15.75" customHeight="1">
      <c r="A70" s="1067"/>
      <c r="B70" s="822">
        <v>8550</v>
      </c>
      <c r="C70" s="119" t="s">
        <v>1462</v>
      </c>
      <c r="D70" s="823">
        <f>'C.2.1 B'!D69</f>
        <v>55.301854638960194</v>
      </c>
      <c r="E70" s="823"/>
      <c r="F70" s="823" t="e">
        <f>SUMIF('[12]Div 9 forecast'!$C$8:$C$421,$B70, '[12]Div 9 forecast'!$AL$8:$AL$421)</f>
        <v>#VALUE!</v>
      </c>
      <c r="G70" s="809"/>
      <c r="H70" s="823" t="e">
        <f>SUMIF('[12]Div 9 forecast'!$C$8:$C$421,$B70, '[12]Div 9 forecast'!$AM$8:$AM$421)</f>
        <v>#VALUE!</v>
      </c>
      <c r="I70" s="1163"/>
      <c r="J70" s="823" t="e">
        <f>SUMIF('[12]Div 9 forecast'!$C$8:$C$421,$B70, '[12]Div 9 forecast'!$AN$8:$AN$421)</f>
        <v>#VALUE!</v>
      </c>
      <c r="K70" s="823"/>
      <c r="L70" s="823"/>
      <c r="M70" s="1163"/>
      <c r="N70" s="823"/>
      <c r="O70" s="1163"/>
      <c r="P70" s="823"/>
      <c r="Q70" s="1058"/>
      <c r="R70" s="1058"/>
      <c r="S70" s="1058"/>
      <c r="T70" s="822"/>
      <c r="U70" s="822"/>
    </row>
    <row r="71" spans="1:21" ht="15.75" customHeight="1">
      <c r="A71" s="1011">
        <f>A69+1</f>
        <v>51</v>
      </c>
      <c r="B71" s="822">
        <v>8560</v>
      </c>
      <c r="C71" s="1" t="s">
        <v>246</v>
      </c>
      <c r="D71" s="823">
        <f>'C.2.1 B'!D70</f>
        <v>316656.97825095349</v>
      </c>
      <c r="E71" s="823"/>
      <c r="F71" s="823" t="e">
        <f>SUMIF('[12]Div 9 forecast'!$C$8:$C$421,$B71, '[12]Div 9 forecast'!$AL$8:$AL$421)</f>
        <v>#VALUE!</v>
      </c>
      <c r="G71" s="809"/>
      <c r="H71" s="823" t="e">
        <f>SUMIF('[12]Div 9 forecast'!$C$8:$C$421,$B71, '[12]Div 9 forecast'!$AM$8:$AM$421)</f>
        <v>#VALUE!</v>
      </c>
      <c r="I71" s="1163"/>
      <c r="J71" s="823" t="e">
        <f>SUMIF('[12]Div 9 forecast'!$C$8:$C$421,$B71, '[12]Div 9 forecast'!$AN$8:$AN$421)</f>
        <v>#VALUE!</v>
      </c>
      <c r="K71" s="823"/>
      <c r="L71" s="823">
        <v>0</v>
      </c>
      <c r="M71" s="1163"/>
      <c r="N71" s="823">
        <v>0</v>
      </c>
      <c r="O71" s="1163"/>
      <c r="P71" s="823" t="e">
        <f t="shared" si="1"/>
        <v>#VALUE!</v>
      </c>
      <c r="Q71"/>
      <c r="R71"/>
      <c r="S71"/>
      <c r="T71" s="822"/>
      <c r="U71" s="822"/>
    </row>
    <row r="72" spans="1:21" ht="15.75" customHeight="1">
      <c r="A72" s="1011">
        <f t="shared" si="2"/>
        <v>52</v>
      </c>
      <c r="B72" s="822">
        <v>8570</v>
      </c>
      <c r="C72" s="1" t="s">
        <v>247</v>
      </c>
      <c r="D72" s="823">
        <f>'C.2.1 B'!D71</f>
        <v>34521.182853303595</v>
      </c>
      <c r="E72" s="823"/>
      <c r="F72" s="823" t="e">
        <f>SUMIF('[12]Div 9 forecast'!$C$8:$C$421,$B72, '[12]Div 9 forecast'!$AL$8:$AL$421)</f>
        <v>#VALUE!</v>
      </c>
      <c r="G72" s="809"/>
      <c r="H72" s="823" t="e">
        <f>SUMIF('[12]Div 9 forecast'!$C$8:$C$421,$B72, '[12]Div 9 forecast'!$AM$8:$AM$421)</f>
        <v>#VALUE!</v>
      </c>
      <c r="I72" s="823"/>
      <c r="J72" s="823" t="e">
        <f>SUMIF('[12]Div 9 forecast'!$C$8:$C$421,$B72, '[12]Div 9 forecast'!$AN$8:$AN$421)</f>
        <v>#VALUE!</v>
      </c>
      <c r="K72" s="823"/>
      <c r="L72" s="823">
        <v>0</v>
      </c>
      <c r="M72" s="823"/>
      <c r="N72" s="823">
        <v>0</v>
      </c>
      <c r="O72" s="1163"/>
      <c r="P72" s="823" t="e">
        <f t="shared" si="1"/>
        <v>#VALUE!</v>
      </c>
      <c r="Q72"/>
      <c r="R72"/>
      <c r="S72"/>
      <c r="T72" s="822"/>
      <c r="U72" s="822"/>
    </row>
    <row r="73" spans="1:21" ht="15.75" customHeight="1">
      <c r="A73" s="829">
        <f>A72+1</f>
        <v>53</v>
      </c>
      <c r="B73" s="822">
        <v>8590</v>
      </c>
      <c r="C73" s="1" t="s">
        <v>248</v>
      </c>
      <c r="D73" s="823">
        <f>'C.2.1 B'!D72</f>
        <v>0</v>
      </c>
      <c r="E73" s="823"/>
      <c r="F73" s="823" t="e">
        <f>SUMIF('[12]Div 9 forecast'!$C$8:$C$421,$B73, '[12]Div 9 forecast'!$AL$8:$AL$421)</f>
        <v>#VALUE!</v>
      </c>
      <c r="G73" s="809"/>
      <c r="H73" s="823" t="e">
        <f>SUMIF('[12]Div 9 forecast'!$C$8:$C$421,$B73, '[12]Div 9 forecast'!$AM$8:$AM$421)</f>
        <v>#VALUE!</v>
      </c>
      <c r="I73" s="823"/>
      <c r="J73" s="823" t="e">
        <f>SUMIF('[12]Div 9 forecast'!$C$8:$C$421,$B73, '[12]Div 9 forecast'!$AN$8:$AN$421)</f>
        <v>#VALUE!</v>
      </c>
      <c r="K73" s="823"/>
      <c r="L73" s="823">
        <v>0</v>
      </c>
      <c r="M73" s="823"/>
      <c r="N73" s="823">
        <v>0</v>
      </c>
      <c r="O73" s="823"/>
      <c r="P73" s="823" t="e">
        <f t="shared" si="1"/>
        <v>#VALUE!</v>
      </c>
      <c r="Q73"/>
      <c r="R73"/>
      <c r="S73"/>
      <c r="T73" s="822"/>
      <c r="U73" s="822"/>
    </row>
    <row r="74" spans="1:21" ht="15.75" customHeight="1">
      <c r="A74" s="829">
        <f t="shared" si="2"/>
        <v>54</v>
      </c>
      <c r="B74" s="822">
        <v>8600</v>
      </c>
      <c r="C74" s="1" t="s">
        <v>237</v>
      </c>
      <c r="D74" s="823">
        <f>'C.2.1 B'!D73</f>
        <v>0</v>
      </c>
      <c r="E74" s="823"/>
      <c r="F74" s="823" t="e">
        <f>SUMIF('[12]Div 9 forecast'!$C$8:$C$421,$B74, '[12]Div 9 forecast'!$AL$8:$AL$421)</f>
        <v>#VALUE!</v>
      </c>
      <c r="G74" s="809"/>
      <c r="H74" s="823" t="e">
        <f>SUMIF('[12]Div 9 forecast'!$C$8:$C$421,$B74, '[12]Div 9 forecast'!$AM$8:$AM$421)</f>
        <v>#VALUE!</v>
      </c>
      <c r="I74" s="823"/>
      <c r="J74" s="823" t="e">
        <f>SUMIF('[12]Div 9 forecast'!$C$8:$C$421,$B74, '[12]Div 9 forecast'!$AN$8:$AN$421)</f>
        <v>#VALUE!</v>
      </c>
      <c r="K74" s="823"/>
      <c r="L74" s="823">
        <v>0</v>
      </c>
      <c r="M74" s="823"/>
      <c r="N74" s="823">
        <v>0</v>
      </c>
      <c r="O74" s="823"/>
      <c r="P74" s="823" t="e">
        <f t="shared" si="1"/>
        <v>#VALUE!</v>
      </c>
      <c r="Q74"/>
      <c r="R74"/>
      <c r="S74"/>
      <c r="T74" s="822"/>
      <c r="U74" s="822"/>
    </row>
    <row r="75" spans="1:21" ht="15.75" customHeight="1">
      <c r="A75" s="829">
        <f t="shared" si="2"/>
        <v>55</v>
      </c>
      <c r="B75" s="822">
        <v>8620</v>
      </c>
      <c r="C75" s="1" t="s">
        <v>249</v>
      </c>
      <c r="D75" s="823">
        <f>'C.2.1 B'!D77</f>
        <v>0</v>
      </c>
      <c r="E75" s="823"/>
      <c r="F75" s="823" t="e">
        <f>SUMIF('[12]Div 9 forecast'!$C$8:$C$421,$B75, '[12]Div 9 forecast'!$AL$8:$AL$421)</f>
        <v>#VALUE!</v>
      </c>
      <c r="G75" s="809"/>
      <c r="H75" s="823" t="e">
        <f>SUMIF('[12]Div 9 forecast'!$C$8:$C$421,$B75, '[12]Div 9 forecast'!$AM$8:$AM$421)</f>
        <v>#VALUE!</v>
      </c>
      <c r="I75" s="823"/>
      <c r="J75" s="823" t="e">
        <f>SUMIF('[12]Div 9 forecast'!$C$8:$C$421,$B75, '[12]Div 9 forecast'!$AN$8:$AN$421)</f>
        <v>#VALUE!</v>
      </c>
      <c r="K75" s="823"/>
      <c r="L75" s="823">
        <v>0</v>
      </c>
      <c r="M75" s="823"/>
      <c r="N75" s="823">
        <v>0</v>
      </c>
      <c r="O75" s="823"/>
      <c r="P75" s="823" t="e">
        <f t="shared" si="1"/>
        <v>#VALUE!</v>
      </c>
      <c r="Q75"/>
      <c r="R75"/>
      <c r="S75"/>
      <c r="T75" s="822"/>
      <c r="U75" s="822"/>
    </row>
    <row r="76" spans="1:21" ht="15.75" customHeight="1">
      <c r="A76" s="829">
        <f t="shared" si="2"/>
        <v>56</v>
      </c>
      <c r="B76" s="822">
        <v>8630</v>
      </c>
      <c r="C76" s="1" t="s">
        <v>250</v>
      </c>
      <c r="D76" s="823">
        <f>'C.2.1 B'!D78</f>
        <v>5912.3313289077478</v>
      </c>
      <c r="E76" s="823"/>
      <c r="F76" s="823" t="e">
        <f>SUMIF('[12]Div 9 forecast'!$C$8:$C$421,$B76, '[12]Div 9 forecast'!$AL$8:$AL$421)</f>
        <v>#VALUE!</v>
      </c>
      <c r="G76" s="809"/>
      <c r="H76" s="823" t="e">
        <f>SUMIF('[12]Div 9 forecast'!$C$8:$C$421,$B76, '[12]Div 9 forecast'!$AM$8:$AM$421)</f>
        <v>#VALUE!</v>
      </c>
      <c r="I76" s="1163"/>
      <c r="J76" s="823" t="e">
        <f>SUMIF('[12]Div 9 forecast'!$C$8:$C$421,$B76, '[12]Div 9 forecast'!$AN$8:$AN$421)</f>
        <v>#VALUE!</v>
      </c>
      <c r="K76" s="823"/>
      <c r="L76" s="823">
        <v>0</v>
      </c>
      <c r="M76" s="1163"/>
      <c r="N76" s="823">
        <v>0</v>
      </c>
      <c r="O76" s="1163"/>
      <c r="P76" s="823" t="e">
        <f t="shared" si="1"/>
        <v>#VALUE!</v>
      </c>
      <c r="Q76"/>
      <c r="R76"/>
      <c r="S76"/>
      <c r="T76" s="822"/>
      <c r="U76" s="822"/>
    </row>
    <row r="77" spans="1:21" ht="15.75" customHeight="1">
      <c r="A77" s="829">
        <f t="shared" si="2"/>
        <v>57</v>
      </c>
      <c r="B77" s="822">
        <v>8640</v>
      </c>
      <c r="C77" s="1" t="s">
        <v>251</v>
      </c>
      <c r="D77" s="823">
        <f>'C.2.1 B'!D79</f>
        <v>0</v>
      </c>
      <c r="E77" s="823"/>
      <c r="F77" s="823" t="e">
        <f>SUMIF('[12]Div 9 forecast'!$C$8:$C$421,$B77, '[12]Div 9 forecast'!$AL$8:$AL$421)</f>
        <v>#VALUE!</v>
      </c>
      <c r="G77" s="809"/>
      <c r="H77" s="823" t="e">
        <f>SUMIF('[12]Div 9 forecast'!$C$8:$C$421,$B77, '[12]Div 9 forecast'!$AM$8:$AM$421)</f>
        <v>#VALUE!</v>
      </c>
      <c r="I77" s="1163"/>
      <c r="J77" s="823" t="e">
        <f>SUMIF('[12]Div 9 forecast'!$C$8:$C$421,$B77, '[12]Div 9 forecast'!$AN$8:$AN$421)</f>
        <v>#VALUE!</v>
      </c>
      <c r="K77" s="823"/>
      <c r="L77" s="823">
        <v>0</v>
      </c>
      <c r="M77" s="1163"/>
      <c r="N77" s="823">
        <v>0</v>
      </c>
      <c r="O77" s="1163"/>
      <c r="P77" s="823" t="e">
        <f t="shared" si="1"/>
        <v>#VALUE!</v>
      </c>
      <c r="Q77"/>
      <c r="R77"/>
      <c r="S77"/>
      <c r="T77" s="822"/>
      <c r="U77" s="822"/>
    </row>
    <row r="78" spans="1:21" ht="15.75" customHeight="1">
      <c r="A78" s="829">
        <f t="shared" si="2"/>
        <v>58</v>
      </c>
      <c r="B78" s="822">
        <v>8650</v>
      </c>
      <c r="C78" s="1" t="s">
        <v>252</v>
      </c>
      <c r="D78" s="823">
        <f>'C.2.1 B'!D80</f>
        <v>5807.7109373173216</v>
      </c>
      <c r="E78" s="823"/>
      <c r="F78" s="823" t="e">
        <f>SUMIF('[12]Div 9 forecast'!$C$8:$C$421,$B78, '[12]Div 9 forecast'!$AL$8:$AL$421)</f>
        <v>#VALUE!</v>
      </c>
      <c r="G78" s="809"/>
      <c r="H78" s="823" t="e">
        <f>SUMIF('[12]Div 9 forecast'!$C$8:$C$421,$B78, '[12]Div 9 forecast'!$AM$8:$AM$421)</f>
        <v>#VALUE!</v>
      </c>
      <c r="I78" s="1163"/>
      <c r="J78" s="823" t="e">
        <f>SUMIF('[12]Div 9 forecast'!$C$8:$C$421,$B78, '[12]Div 9 forecast'!$AN$8:$AN$421)</f>
        <v>#VALUE!</v>
      </c>
      <c r="K78" s="823"/>
      <c r="L78" s="823">
        <v>0</v>
      </c>
      <c r="M78" s="1163"/>
      <c r="N78" s="823">
        <v>0</v>
      </c>
      <c r="O78" s="1163"/>
      <c r="P78" s="823" t="e">
        <f t="shared" si="1"/>
        <v>#VALUE!</v>
      </c>
      <c r="Q78"/>
      <c r="R78"/>
      <c r="S78"/>
      <c r="T78" s="822"/>
      <c r="U78" s="822"/>
    </row>
    <row r="79" spans="1:21" ht="15.75" customHeight="1">
      <c r="A79" s="829">
        <f t="shared" si="2"/>
        <v>59</v>
      </c>
      <c r="B79" s="822">
        <v>8670</v>
      </c>
      <c r="C79" s="1" t="s">
        <v>253</v>
      </c>
      <c r="D79" s="823">
        <f>'C.2.1 B'!D81</f>
        <v>0</v>
      </c>
      <c r="E79" s="823"/>
      <c r="F79" s="823" t="e">
        <f>SUMIF('[12]Div 9 forecast'!$C$8:$C$421,$B79, '[12]Div 9 forecast'!$AL$8:$AL$421)</f>
        <v>#VALUE!</v>
      </c>
      <c r="G79" s="809"/>
      <c r="H79" s="823" t="e">
        <f>SUMIF('[12]Div 9 forecast'!$C$8:$C$421,$B79, '[12]Div 9 forecast'!$AM$8:$AM$421)</f>
        <v>#VALUE!</v>
      </c>
      <c r="I79" s="1163"/>
      <c r="J79" s="823" t="e">
        <f>SUMIF('[12]Div 9 forecast'!$C$8:$C$421,$B79, '[12]Div 9 forecast'!$AN$8:$AN$421)</f>
        <v>#VALUE!</v>
      </c>
      <c r="K79" s="823"/>
      <c r="L79" s="823">
        <v>0</v>
      </c>
      <c r="M79" s="1163"/>
      <c r="N79" s="823">
        <v>0</v>
      </c>
      <c r="O79" s="1163"/>
      <c r="P79" s="823" t="e">
        <f t="shared" si="1"/>
        <v>#VALUE!</v>
      </c>
      <c r="Q79"/>
      <c r="R79"/>
      <c r="S79"/>
      <c r="T79" s="822"/>
      <c r="U79" s="822"/>
    </row>
    <row r="80" spans="1:21" ht="15.75" customHeight="1">
      <c r="A80" s="829">
        <f t="shared" si="2"/>
        <v>60</v>
      </c>
      <c r="B80" s="822">
        <v>8700</v>
      </c>
      <c r="C80" s="1" t="s">
        <v>254</v>
      </c>
      <c r="D80" s="823">
        <f>'C.2.1 B'!D107</f>
        <v>1183789.4569059813</v>
      </c>
      <c r="E80" s="823"/>
      <c r="F80" s="823" t="e">
        <f>SUMIF('[12]Div 9 forecast'!$C$8:$C$421,$B80, '[12]Div 9 forecast'!$AL$8:$AL$421)</f>
        <v>#VALUE!</v>
      </c>
      <c r="G80" s="809"/>
      <c r="H80" s="823" t="e">
        <f>SUMIF('[12]Div 9 forecast'!$C$8:$C$421,$B80, '[12]Div 9 forecast'!$AM$8:$AM$421)</f>
        <v>#VALUE!</v>
      </c>
      <c r="I80" s="1163"/>
      <c r="J80" s="823" t="e">
        <f>SUMIF('[12]Div 9 forecast'!$C$8:$C$421,$B80, '[12]Div 9 forecast'!$AN$8:$AN$421)</f>
        <v>#VALUE!</v>
      </c>
      <c r="K80" s="823"/>
      <c r="L80" s="823">
        <v>0</v>
      </c>
      <c r="M80" s="1163"/>
      <c r="N80" s="823">
        <v>0</v>
      </c>
      <c r="O80" s="1163"/>
      <c r="P80" s="823" t="e">
        <f t="shared" si="1"/>
        <v>#VALUE!</v>
      </c>
      <c r="Q80"/>
      <c r="R80"/>
      <c r="S80"/>
      <c r="T80" s="822"/>
      <c r="U80" s="822"/>
    </row>
    <row r="81" spans="1:21" ht="15.75" customHeight="1">
      <c r="A81" s="829">
        <f t="shared" si="2"/>
        <v>61</v>
      </c>
      <c r="B81" s="822">
        <v>8710</v>
      </c>
      <c r="C81" s="1" t="s">
        <v>255</v>
      </c>
      <c r="D81" s="823">
        <f>'C.2.1 B'!D108</f>
        <v>1954.0543321693435</v>
      </c>
      <c r="E81" s="823"/>
      <c r="F81" s="823" t="e">
        <f>SUMIF('[12]Div 9 forecast'!$C$8:$C$421,$B81, '[12]Div 9 forecast'!$AL$8:$AL$421)</f>
        <v>#VALUE!</v>
      </c>
      <c r="G81" s="809"/>
      <c r="H81" s="823" t="e">
        <f>SUMIF('[12]Div 9 forecast'!$C$8:$C$421,$B81, '[12]Div 9 forecast'!$AM$8:$AM$421)</f>
        <v>#VALUE!</v>
      </c>
      <c r="I81" s="1163"/>
      <c r="J81" s="823" t="e">
        <f>SUMIF('[12]Div 9 forecast'!$C$8:$C$421,$B81, '[12]Div 9 forecast'!$AN$8:$AN$421)</f>
        <v>#VALUE!</v>
      </c>
      <c r="K81" s="823"/>
      <c r="L81" s="823">
        <v>0</v>
      </c>
      <c r="M81" s="1163"/>
      <c r="N81" s="823">
        <v>0</v>
      </c>
      <c r="O81" s="1163"/>
      <c r="P81" s="823" t="e">
        <f t="shared" si="1"/>
        <v>#VALUE!</v>
      </c>
      <c r="Q81"/>
      <c r="R81"/>
      <c r="S81"/>
      <c r="T81" s="822"/>
      <c r="U81" s="822"/>
    </row>
    <row r="82" spans="1:21" ht="15.75" customHeight="1">
      <c r="A82" s="829">
        <f t="shared" si="2"/>
        <v>62</v>
      </c>
      <c r="B82" s="822">
        <v>8711</v>
      </c>
      <c r="C82" s="1" t="s">
        <v>238</v>
      </c>
      <c r="D82" s="823">
        <f>'C.2.1 B'!D109</f>
        <v>10649.634147097708</v>
      </c>
      <c r="E82" s="823"/>
      <c r="F82" s="823" t="e">
        <f>SUMIF('[12]Div 9 forecast'!$C$8:$C$421,$B82, '[12]Div 9 forecast'!$AL$8:$AL$421)</f>
        <v>#VALUE!</v>
      </c>
      <c r="G82" s="809"/>
      <c r="H82" s="823" t="e">
        <f>SUMIF('[12]Div 9 forecast'!$C$8:$C$421,$B82, '[12]Div 9 forecast'!$AM$8:$AM$421)</f>
        <v>#VALUE!</v>
      </c>
      <c r="I82" s="1163"/>
      <c r="J82" s="823" t="e">
        <f>SUMIF('[12]Div 9 forecast'!$C$8:$C$421,$B82, '[12]Div 9 forecast'!$AN$8:$AN$421)</f>
        <v>#VALUE!</v>
      </c>
      <c r="K82" s="823"/>
      <c r="L82" s="823">
        <v>0</v>
      </c>
      <c r="M82" s="1163"/>
      <c r="N82" s="823">
        <v>0</v>
      </c>
      <c r="O82" s="1163"/>
      <c r="P82" s="823" t="e">
        <f t="shared" si="1"/>
        <v>#VALUE!</v>
      </c>
      <c r="Q82"/>
      <c r="R82"/>
      <c r="S82"/>
      <c r="T82" s="822"/>
      <c r="U82" s="822"/>
    </row>
    <row r="83" spans="1:21" ht="15.75" customHeight="1">
      <c r="A83" s="829">
        <f t="shared" si="2"/>
        <v>63</v>
      </c>
      <c r="B83" s="822">
        <v>8720</v>
      </c>
      <c r="C83" s="1" t="s">
        <v>256</v>
      </c>
      <c r="D83" s="823">
        <f>'C.2.1 B'!D110</f>
        <v>0</v>
      </c>
      <c r="E83" s="823"/>
      <c r="F83" s="823" t="e">
        <f>SUMIF('[12]Div 9 forecast'!$C$8:$C$421,$B83, '[12]Div 9 forecast'!$AL$8:$AL$421)</f>
        <v>#VALUE!</v>
      </c>
      <c r="G83" s="809"/>
      <c r="H83" s="823" t="e">
        <f>SUMIF('[12]Div 9 forecast'!$C$8:$C$421,$B83, '[12]Div 9 forecast'!$AM$8:$AM$421)</f>
        <v>#VALUE!</v>
      </c>
      <c r="I83" s="1163"/>
      <c r="J83" s="823" t="e">
        <f>SUMIF('[12]Div 9 forecast'!$C$8:$C$421,$B83, '[12]Div 9 forecast'!$AN$8:$AN$421)</f>
        <v>#VALUE!</v>
      </c>
      <c r="K83" s="823"/>
      <c r="L83" s="823">
        <v>0</v>
      </c>
      <c r="M83" s="1163"/>
      <c r="N83" s="823">
        <v>0</v>
      </c>
      <c r="O83" s="1163"/>
      <c r="P83" s="823" t="e">
        <f t="shared" si="1"/>
        <v>#VALUE!</v>
      </c>
      <c r="Q83"/>
      <c r="R83"/>
      <c r="S83"/>
      <c r="T83" s="822"/>
      <c r="U83" s="822"/>
    </row>
    <row r="84" spans="1:21" ht="15.75" customHeight="1">
      <c r="A84" s="829">
        <f t="shared" si="2"/>
        <v>64</v>
      </c>
      <c r="B84" s="822">
        <v>8740</v>
      </c>
      <c r="C84" s="1" t="s">
        <v>257</v>
      </c>
      <c r="D84" s="823">
        <f>'C.2.1 B'!D111</f>
        <v>3723991.9424460223</v>
      </c>
      <c r="E84" s="823"/>
      <c r="F84" s="823" t="e">
        <f>SUMIF('[12]Div 9 forecast'!$C$8:$C$421,$B84, '[12]Div 9 forecast'!$AL$8:$AL$421)</f>
        <v>#VALUE!</v>
      </c>
      <c r="G84" s="809"/>
      <c r="H84" s="823" t="e">
        <f>SUMIF('[12]Div 9 forecast'!$C$8:$C$421,$B84, '[12]Div 9 forecast'!$AM$8:$AM$421)</f>
        <v>#VALUE!</v>
      </c>
      <c r="I84" s="1163"/>
      <c r="J84" s="823" t="e">
        <f>SUMIF('[12]Div 9 forecast'!$C$8:$C$421,$B84, '[12]Div 9 forecast'!$AN$8:$AN$421)</f>
        <v>#VALUE!</v>
      </c>
      <c r="K84" s="823"/>
      <c r="L84" s="823">
        <v>0</v>
      </c>
      <c r="M84" s="1163"/>
      <c r="N84" s="823">
        <v>0</v>
      </c>
      <c r="O84" s="1163"/>
      <c r="P84" s="823" t="e">
        <f t="shared" si="1"/>
        <v>#VALUE!</v>
      </c>
      <c r="Q84"/>
      <c r="R84"/>
      <c r="S84"/>
      <c r="T84" s="822"/>
      <c r="U84" s="822"/>
    </row>
    <row r="85" spans="1:21" ht="15.75" customHeight="1">
      <c r="A85" s="829">
        <f t="shared" si="2"/>
        <v>65</v>
      </c>
      <c r="B85" s="822">
        <v>8750</v>
      </c>
      <c r="C85" s="1" t="s">
        <v>258</v>
      </c>
      <c r="D85" s="823">
        <f>'C.2.1 B'!D112</f>
        <v>398999.7802270184</v>
      </c>
      <c r="E85" s="823"/>
      <c r="F85" s="823" t="e">
        <f>SUMIF('[12]Div 9 forecast'!$C$8:$C$421,$B85, '[12]Div 9 forecast'!$AL$8:$AL$421)</f>
        <v>#VALUE!</v>
      </c>
      <c r="G85" s="809"/>
      <c r="H85" s="823" t="e">
        <f>SUMIF('[12]Div 9 forecast'!$C$8:$C$421,$B85, '[12]Div 9 forecast'!$AM$8:$AM$421)</f>
        <v>#VALUE!</v>
      </c>
      <c r="I85" s="1163"/>
      <c r="J85" s="823" t="e">
        <f>SUMIF('[12]Div 9 forecast'!$C$8:$C$421,$B85, '[12]Div 9 forecast'!$AN$8:$AN$421)</f>
        <v>#VALUE!</v>
      </c>
      <c r="K85" s="823"/>
      <c r="L85" s="823">
        <v>0</v>
      </c>
      <c r="M85" s="1163"/>
      <c r="N85" s="823">
        <v>0</v>
      </c>
      <c r="O85" s="1163"/>
      <c r="P85" s="823" t="e">
        <f t="shared" si="1"/>
        <v>#VALUE!</v>
      </c>
      <c r="Q85"/>
      <c r="R85"/>
      <c r="S85"/>
      <c r="T85" s="822"/>
      <c r="U85" s="822"/>
    </row>
    <row r="86" spans="1:21" ht="15.75" customHeight="1">
      <c r="A86" s="829">
        <f t="shared" si="2"/>
        <v>66</v>
      </c>
      <c r="B86" s="822">
        <v>8760</v>
      </c>
      <c r="C86" s="1" t="s">
        <v>669</v>
      </c>
      <c r="D86" s="823">
        <f>'C.2.1 B'!D113</f>
        <v>33534.792112589414</v>
      </c>
      <c r="E86" s="823"/>
      <c r="F86" s="823" t="e">
        <f>SUMIF('[12]Div 9 forecast'!$C$8:$C$421,$B86, '[12]Div 9 forecast'!$AL$8:$AL$421)</f>
        <v>#VALUE!</v>
      </c>
      <c r="G86" s="809"/>
      <c r="H86" s="823" t="e">
        <f>SUMIF('[12]Div 9 forecast'!$C$8:$C$421,$B86, '[12]Div 9 forecast'!$AM$8:$AM$421)</f>
        <v>#VALUE!</v>
      </c>
      <c r="I86" s="823"/>
      <c r="J86" s="823" t="e">
        <f>SUMIF('[12]Div 9 forecast'!$C$8:$C$421,$B86, '[12]Div 9 forecast'!$AN$8:$AN$421)</f>
        <v>#VALUE!</v>
      </c>
      <c r="K86" s="823"/>
      <c r="L86" s="823">
        <v>0</v>
      </c>
      <c r="M86" s="823"/>
      <c r="N86" s="823">
        <v>0</v>
      </c>
      <c r="O86" s="1163"/>
      <c r="P86" s="823" t="e">
        <f t="shared" si="1"/>
        <v>#VALUE!</v>
      </c>
      <c r="Q86"/>
      <c r="R86"/>
      <c r="S86"/>
      <c r="T86" s="822"/>
      <c r="U86" s="822"/>
    </row>
    <row r="87" spans="1:21" ht="15.75" customHeight="1">
      <c r="A87" s="829">
        <f t="shared" si="2"/>
        <v>67</v>
      </c>
      <c r="B87" s="822">
        <v>8770</v>
      </c>
      <c r="C87" s="1" t="s">
        <v>670</v>
      </c>
      <c r="D87" s="823">
        <f>'C.2.1 B'!D114</f>
        <v>124129.98170099156</v>
      </c>
      <c r="E87" s="823"/>
      <c r="F87" s="823" t="e">
        <f>SUMIF('[12]Div 9 forecast'!$C$8:$C$421,$B87, '[12]Div 9 forecast'!$AL$8:$AL$421)</f>
        <v>#VALUE!</v>
      </c>
      <c r="G87" s="809"/>
      <c r="H87" s="823" t="e">
        <f>SUMIF('[12]Div 9 forecast'!$C$8:$C$421,$B87, '[12]Div 9 forecast'!$AM$8:$AM$421)</f>
        <v>#VALUE!</v>
      </c>
      <c r="I87" s="823"/>
      <c r="J87" s="823" t="e">
        <f>SUMIF('[12]Div 9 forecast'!$C$8:$C$421,$B87, '[12]Div 9 forecast'!$AN$8:$AN$421)</f>
        <v>#VALUE!</v>
      </c>
      <c r="K87" s="1163"/>
      <c r="L87" s="823">
        <v>0</v>
      </c>
      <c r="M87" s="823"/>
      <c r="N87" s="823">
        <v>0</v>
      </c>
      <c r="O87" s="1163"/>
      <c r="P87" s="823" t="e">
        <f t="shared" si="1"/>
        <v>#VALUE!</v>
      </c>
      <c r="Q87"/>
      <c r="R87"/>
      <c r="S87"/>
      <c r="T87" s="822"/>
      <c r="U87" s="822"/>
    </row>
    <row r="88" spans="1:21" ht="15.75" customHeight="1">
      <c r="A88" s="829">
        <f t="shared" si="2"/>
        <v>68</v>
      </c>
      <c r="B88" s="822">
        <v>8780</v>
      </c>
      <c r="C88" s="1" t="s">
        <v>671</v>
      </c>
      <c r="D88" s="823">
        <f>'C.2.1 B'!D115</f>
        <v>890856.00637317088</v>
      </c>
      <c r="E88" s="823"/>
      <c r="F88" s="823" t="e">
        <f>SUMIF('[12]Div 9 forecast'!$C$8:$C$421,$B88, '[12]Div 9 forecast'!$AL$8:$AL$421)</f>
        <v>#VALUE!</v>
      </c>
      <c r="G88" s="809"/>
      <c r="H88" s="823" t="e">
        <f>SUMIF('[12]Div 9 forecast'!$C$8:$C$421,$B88, '[12]Div 9 forecast'!$AM$8:$AM$421)</f>
        <v>#VALUE!</v>
      </c>
      <c r="I88" s="1163"/>
      <c r="J88" s="823" t="e">
        <f>SUMIF('[12]Div 9 forecast'!$C$8:$C$421,$B88, '[12]Div 9 forecast'!$AN$8:$AN$421)</f>
        <v>#VALUE!</v>
      </c>
      <c r="K88" s="1163"/>
      <c r="L88" s="823">
        <v>0</v>
      </c>
      <c r="M88" s="1163"/>
      <c r="N88" s="823">
        <v>0</v>
      </c>
      <c r="O88" s="1163"/>
      <c r="P88" s="823" t="e">
        <f t="shared" si="1"/>
        <v>#VALUE!</v>
      </c>
      <c r="Q88"/>
      <c r="R88"/>
      <c r="S88"/>
      <c r="T88" s="822"/>
    </row>
    <row r="89" spans="1:21" ht="15.75" customHeight="1">
      <c r="A89" s="829">
        <f t="shared" si="2"/>
        <v>69</v>
      </c>
      <c r="B89" s="822">
        <v>8790</v>
      </c>
      <c r="C89" s="1" t="s">
        <v>672</v>
      </c>
      <c r="D89" s="823">
        <f>'C.2.1 B'!D116</f>
        <v>752.17633517265062</v>
      </c>
      <c r="E89" s="823"/>
      <c r="F89" s="823" t="e">
        <f>SUMIF('[12]Div 9 forecast'!$C$8:$C$421,$B89, '[12]Div 9 forecast'!$AL$8:$AL$421)</f>
        <v>#VALUE!</v>
      </c>
      <c r="G89" s="809"/>
      <c r="H89" s="823" t="e">
        <f>SUMIF('[12]Div 9 forecast'!$C$8:$C$421,$B89, '[12]Div 9 forecast'!$AM$8:$AM$421)</f>
        <v>#VALUE!</v>
      </c>
      <c r="I89" s="1163"/>
      <c r="J89" s="823" t="e">
        <f>SUMIF('[12]Div 9 forecast'!$C$8:$C$421,$B89, '[12]Div 9 forecast'!$AN$8:$AN$421)</f>
        <v>#VALUE!</v>
      </c>
      <c r="K89" s="823"/>
      <c r="L89" s="823">
        <v>0</v>
      </c>
      <c r="M89" s="1163"/>
      <c r="N89" s="823">
        <v>0</v>
      </c>
      <c r="O89" s="1163"/>
      <c r="P89" s="823" t="e">
        <f t="shared" si="1"/>
        <v>#VALUE!</v>
      </c>
      <c r="Q89"/>
      <c r="R89"/>
      <c r="S89"/>
      <c r="T89" s="822"/>
    </row>
    <row r="90" spans="1:21" ht="15.75" customHeight="1">
      <c r="A90" s="829">
        <f t="shared" si="2"/>
        <v>70</v>
      </c>
      <c r="B90" s="822">
        <v>8800</v>
      </c>
      <c r="C90" s="1" t="s">
        <v>673</v>
      </c>
      <c r="D90" s="823">
        <f>'C.2.1 B'!D117</f>
        <v>208474.55496439827</v>
      </c>
      <c r="E90" s="823"/>
      <c r="F90" s="823" t="e">
        <f>SUMIF('[12]Div 9 forecast'!$C$8:$C$421,$B90, '[12]Div 9 forecast'!$AL$8:$AL$421)</f>
        <v>#VALUE!</v>
      </c>
      <c r="G90" s="809"/>
      <c r="H90" s="823" t="e">
        <f>SUMIF('[12]Div 9 forecast'!$C$8:$C$421,$B90, '[12]Div 9 forecast'!$AM$8:$AM$421)</f>
        <v>#VALUE!</v>
      </c>
      <c r="I90" s="1163"/>
      <c r="J90" s="823" t="e">
        <f>SUMIF('[12]Div 9 forecast'!$C$8:$C$421,$B90, '[12]Div 9 forecast'!$AN$8:$AN$421)</f>
        <v>#VALUE!</v>
      </c>
      <c r="K90" s="823"/>
      <c r="L90" s="823">
        <v>0</v>
      </c>
      <c r="M90" s="1163"/>
      <c r="N90" s="823">
        <v>0</v>
      </c>
      <c r="O90" s="1163"/>
      <c r="P90" s="823" t="e">
        <f t="shared" si="1"/>
        <v>#VALUE!</v>
      </c>
      <c r="Q90"/>
      <c r="R90"/>
      <c r="S90"/>
      <c r="T90" s="822"/>
    </row>
    <row r="91" spans="1:21" ht="15.75" customHeight="1">
      <c r="A91" s="829">
        <f t="shared" si="2"/>
        <v>71</v>
      </c>
      <c r="B91" s="822">
        <v>8810</v>
      </c>
      <c r="C91" s="1" t="s">
        <v>674</v>
      </c>
      <c r="D91" s="823">
        <f>'C.2.1 B'!D118</f>
        <v>445054.48448687675</v>
      </c>
      <c r="E91" s="823"/>
      <c r="F91" s="823" t="e">
        <f>SUMIF('[12]Div 9 forecast'!$C$8:$C$421,$B91, '[12]Div 9 forecast'!$AL$8:$AL$421)</f>
        <v>#VALUE!</v>
      </c>
      <c r="G91" s="809"/>
      <c r="H91" s="823" t="e">
        <f>SUMIF('[12]Div 9 forecast'!$C$8:$C$421,$B91, '[12]Div 9 forecast'!$AM$8:$AM$421)</f>
        <v>#VALUE!</v>
      </c>
      <c r="I91" s="1163"/>
      <c r="J91" s="823" t="e">
        <f>SUMIF('[12]Div 9 forecast'!$C$8:$C$421,$B91, '[12]Div 9 forecast'!$AN$8:$AN$421)</f>
        <v>#VALUE!</v>
      </c>
      <c r="K91" s="823"/>
      <c r="L91" s="823">
        <v>0</v>
      </c>
      <c r="M91" s="1163"/>
      <c r="N91" s="823">
        <v>0</v>
      </c>
      <c r="O91" s="1163"/>
      <c r="P91" s="823" t="e">
        <f t="shared" si="1"/>
        <v>#VALUE!</v>
      </c>
      <c r="Q91"/>
      <c r="R91"/>
      <c r="S91"/>
      <c r="T91" s="822"/>
    </row>
    <row r="92" spans="1:21" ht="15.75" customHeight="1">
      <c r="A92" s="829">
        <f t="shared" si="2"/>
        <v>72</v>
      </c>
      <c r="B92" s="822">
        <v>8850</v>
      </c>
      <c r="C92" s="1" t="s">
        <v>760</v>
      </c>
      <c r="D92" s="823">
        <f>'C.2.1 B'!D122</f>
        <v>1964.0799531830269</v>
      </c>
      <c r="E92" s="823"/>
      <c r="F92" s="823" t="e">
        <f>SUMIF('[12]Div 9 forecast'!$C$8:$C$421,$B92, '[12]Div 9 forecast'!$AL$8:$AL$421)</f>
        <v>#VALUE!</v>
      </c>
      <c r="G92" s="809"/>
      <c r="H92" s="823" t="e">
        <f>SUMIF('[12]Div 9 forecast'!$C$8:$C$421,$B92, '[12]Div 9 forecast'!$AM$8:$AM$421)</f>
        <v>#VALUE!</v>
      </c>
      <c r="I92" s="1163"/>
      <c r="J92" s="823" t="e">
        <f>SUMIF('[12]Div 9 forecast'!$C$8:$C$421,$B92, '[12]Div 9 forecast'!$AN$8:$AN$421)</f>
        <v>#VALUE!</v>
      </c>
      <c r="K92" s="823"/>
      <c r="L92" s="823">
        <v>0</v>
      </c>
      <c r="M92" s="1163"/>
      <c r="N92" s="823">
        <v>0</v>
      </c>
      <c r="O92" s="1163"/>
      <c r="P92" s="823" t="e">
        <f t="shared" si="1"/>
        <v>#VALUE!</v>
      </c>
      <c r="Q92"/>
      <c r="R92"/>
      <c r="S92"/>
      <c r="T92" s="822"/>
    </row>
    <row r="93" spans="1:21" ht="15.75" customHeight="1">
      <c r="A93" s="829">
        <f t="shared" si="2"/>
        <v>73</v>
      </c>
      <c r="B93" s="822">
        <v>8860</v>
      </c>
      <c r="C93" s="1" t="s">
        <v>791</v>
      </c>
      <c r="D93" s="823">
        <f>'C.2.1 B'!D123</f>
        <v>23371.440168923371</v>
      </c>
      <c r="E93" s="823"/>
      <c r="F93" s="823" t="e">
        <f>SUMIF('[12]Div 9 forecast'!$C$8:$C$421,$B93, '[12]Div 9 forecast'!$AL$8:$AL$421)</f>
        <v>#VALUE!</v>
      </c>
      <c r="G93" s="809"/>
      <c r="H93" s="823" t="e">
        <f>SUMIF('[12]Div 9 forecast'!$C$8:$C$421,$B93, '[12]Div 9 forecast'!$AM$8:$AM$421)</f>
        <v>#VALUE!</v>
      </c>
      <c r="I93" s="1163"/>
      <c r="J93" s="823" t="e">
        <f>SUMIF('[12]Div 9 forecast'!$C$8:$C$421,$B93, '[12]Div 9 forecast'!$AN$8:$AN$421)</f>
        <v>#VALUE!</v>
      </c>
      <c r="K93" s="823"/>
      <c r="L93" s="823">
        <v>0</v>
      </c>
      <c r="M93" s="1163"/>
      <c r="N93" s="823">
        <v>0</v>
      </c>
      <c r="O93" s="1163"/>
      <c r="P93" s="823" t="e">
        <f t="shared" si="1"/>
        <v>#VALUE!</v>
      </c>
      <c r="Q93"/>
      <c r="R93"/>
      <c r="S93"/>
      <c r="T93" s="822"/>
    </row>
    <row r="94" spans="1:21" ht="15.75" customHeight="1">
      <c r="A94" s="2"/>
      <c r="B94" s="30"/>
      <c r="D94" s="136"/>
      <c r="E94" s="136"/>
      <c r="F94" s="136"/>
      <c r="G94" s="130"/>
      <c r="H94" s="136"/>
      <c r="I94" s="185"/>
      <c r="J94" s="136"/>
      <c r="K94" s="136"/>
      <c r="L94" s="136"/>
      <c r="M94" s="185"/>
      <c r="N94" s="136"/>
      <c r="O94" s="185"/>
      <c r="P94" s="136"/>
      <c r="Q94"/>
      <c r="R94"/>
      <c r="S94"/>
    </row>
    <row r="95" spans="1:21" ht="15.75" customHeight="1">
      <c r="D95" s="130"/>
      <c r="E95" s="130"/>
      <c r="F95" s="130"/>
      <c r="G95" s="130"/>
      <c r="H95" s="165" t="s">
        <v>223</v>
      </c>
      <c r="I95" s="130"/>
      <c r="J95" s="130"/>
      <c r="K95" s="130"/>
      <c r="L95" s="130"/>
      <c r="M95" s="130"/>
      <c r="N95" s="130"/>
      <c r="O95" s="130"/>
      <c r="P95" s="165" t="s">
        <v>1110</v>
      </c>
      <c r="Q95"/>
      <c r="R95"/>
      <c r="S95"/>
    </row>
    <row r="96" spans="1:21" ht="15.75" customHeight="1">
      <c r="A96" s="2" t="s">
        <v>98</v>
      </c>
      <c r="B96" s="182" t="s">
        <v>1348</v>
      </c>
      <c r="C96" s="119"/>
      <c r="D96" s="165" t="s">
        <v>45</v>
      </c>
      <c r="E96" s="130"/>
      <c r="F96" s="1158" t="s">
        <v>1109</v>
      </c>
      <c r="G96" s="1159"/>
      <c r="H96" s="1158" t="s">
        <v>1109</v>
      </c>
      <c r="I96" s="1160"/>
      <c r="J96" s="1158" t="s">
        <v>1109</v>
      </c>
      <c r="K96" s="1160"/>
      <c r="L96" s="1158" t="s">
        <v>1109</v>
      </c>
      <c r="M96" s="1160"/>
      <c r="N96" s="1158" t="s">
        <v>1109</v>
      </c>
      <c r="O96" s="1160"/>
      <c r="P96" s="165" t="s">
        <v>101</v>
      </c>
      <c r="Q96"/>
      <c r="R96"/>
      <c r="S96"/>
    </row>
    <row r="97" spans="1:21" ht="15.75" customHeight="1">
      <c r="A97" s="9" t="s">
        <v>104</v>
      </c>
      <c r="B97" s="183" t="s">
        <v>224</v>
      </c>
      <c r="C97" s="124"/>
      <c r="D97" s="862" t="s">
        <v>553</v>
      </c>
      <c r="E97" s="1161"/>
      <c r="F97" s="862" t="s">
        <v>622</v>
      </c>
      <c r="G97" s="1162" t="s">
        <v>332</v>
      </c>
      <c r="H97" s="862" t="s">
        <v>479</v>
      </c>
      <c r="I97" s="1162" t="s">
        <v>332</v>
      </c>
      <c r="J97" s="862" t="s">
        <v>480</v>
      </c>
      <c r="K97" s="1162" t="s">
        <v>332</v>
      </c>
      <c r="L97" s="862" t="s">
        <v>481</v>
      </c>
      <c r="M97" s="1162" t="s">
        <v>332</v>
      </c>
      <c r="N97" s="862" t="s">
        <v>482</v>
      </c>
      <c r="O97" s="1162" t="s">
        <v>332</v>
      </c>
      <c r="P97" s="862" t="s">
        <v>486</v>
      </c>
      <c r="Q97"/>
      <c r="R97"/>
      <c r="S97"/>
    </row>
    <row r="98" spans="1:21" ht="15.75" customHeight="1">
      <c r="B98" s="119"/>
      <c r="C98" s="11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/>
      <c r="R98"/>
      <c r="S98"/>
    </row>
    <row r="99" spans="1:21" ht="15.75" customHeight="1">
      <c r="A99" s="2">
        <f>A93+1</f>
        <v>74</v>
      </c>
      <c r="B99" s="822">
        <v>8870</v>
      </c>
      <c r="C99" s="182" t="s">
        <v>451</v>
      </c>
      <c r="D99" s="823">
        <f>'C.2.1 B'!D124</f>
        <v>46025.738609885331</v>
      </c>
      <c r="E99" s="823"/>
      <c r="F99" s="823" t="e">
        <f>SUMIF('[12]Div 9 forecast'!$C$8:$C$421,$B99, '[12]Div 9 forecast'!$AL$8:$AL$421)</f>
        <v>#VALUE!</v>
      </c>
      <c r="G99" s="809"/>
      <c r="H99" s="823" t="e">
        <f>SUMIF('[12]Div 9 forecast'!$C$8:$C$421,$B99, '[12]Div 9 forecast'!$AM$8:$AM$421)</f>
        <v>#VALUE!</v>
      </c>
      <c r="I99" s="823"/>
      <c r="J99" s="823" t="e">
        <f>SUMIF('[12]Div 9 forecast'!$C$8:$C$421,$B99, '[12]Div 9 forecast'!$AN$8:$AN$421)</f>
        <v>#VALUE!</v>
      </c>
      <c r="K99" s="823"/>
      <c r="L99" s="823">
        <v>0</v>
      </c>
      <c r="M99" s="1163"/>
      <c r="N99" s="823">
        <v>0</v>
      </c>
      <c r="O99" s="1163"/>
      <c r="P99" s="823" t="e">
        <f t="shared" ref="P99:P132" si="3">SUM(F99:O99)</f>
        <v>#VALUE!</v>
      </c>
      <c r="Q99"/>
      <c r="R99"/>
      <c r="S99"/>
      <c r="T99" s="1040"/>
    </row>
    <row r="100" spans="1:21" ht="15.75" customHeight="1">
      <c r="A100" s="925">
        <f t="shared" ref="A100:A132" si="4">A99+1</f>
        <v>75</v>
      </c>
      <c r="B100" s="822">
        <v>8890</v>
      </c>
      <c r="C100" s="182" t="s">
        <v>1215</v>
      </c>
      <c r="D100" s="823">
        <f>'C.2.1 B'!D125</f>
        <v>6698.4222182973017</v>
      </c>
      <c r="E100" s="823"/>
      <c r="F100" s="823" t="e">
        <f>SUMIF('[12]Div 9 forecast'!$C$8:$C$421,$B100, '[12]Div 9 forecast'!$AL$8:$AL$421)</f>
        <v>#VALUE!</v>
      </c>
      <c r="G100" s="823"/>
      <c r="H100" s="823" t="e">
        <f>SUMIF('[12]Div 9 forecast'!$C$8:$C$421,$B100, '[12]Div 9 forecast'!$AM$8:$AM$421)</f>
        <v>#VALUE!</v>
      </c>
      <c r="I100" s="1163"/>
      <c r="J100" s="823" t="e">
        <f>SUMIF('[12]Div 9 forecast'!$C$8:$C$421,$B100, '[12]Div 9 forecast'!$AN$8:$AN$421)</f>
        <v>#VALUE!</v>
      </c>
      <c r="K100" s="823"/>
      <c r="L100" s="823">
        <v>0</v>
      </c>
      <c r="M100" s="1163"/>
      <c r="N100" s="823">
        <v>0</v>
      </c>
      <c r="O100" s="1163"/>
      <c r="P100" s="823" t="e">
        <f t="shared" si="3"/>
        <v>#VALUE!</v>
      </c>
      <c r="Q100"/>
      <c r="R100"/>
      <c r="S100"/>
      <c r="T100" s="822"/>
    </row>
    <row r="101" spans="1:21" ht="15.75" customHeight="1">
      <c r="A101" s="925">
        <f t="shared" si="4"/>
        <v>76</v>
      </c>
      <c r="B101" s="822">
        <v>8900</v>
      </c>
      <c r="C101" s="182" t="s">
        <v>1038</v>
      </c>
      <c r="D101" s="823">
        <f>'C.2.1 B'!D126</f>
        <v>10625.971851677408</v>
      </c>
      <c r="E101" s="823"/>
      <c r="F101" s="823" t="e">
        <f>SUMIF('[12]Div 9 forecast'!$C$8:$C$421,$B101, '[12]Div 9 forecast'!$AL$8:$AL$421)</f>
        <v>#VALUE!</v>
      </c>
      <c r="G101" s="823"/>
      <c r="H101" s="823" t="e">
        <f>SUMIF('[12]Div 9 forecast'!$C$8:$C$421,$B101, '[12]Div 9 forecast'!$AM$8:$AM$421)</f>
        <v>#VALUE!</v>
      </c>
      <c r="I101" s="1163"/>
      <c r="J101" s="823" t="e">
        <f>SUMIF('[12]Div 9 forecast'!$C$8:$C$421,$B101, '[12]Div 9 forecast'!$AN$8:$AN$421)</f>
        <v>#VALUE!</v>
      </c>
      <c r="K101" s="823"/>
      <c r="L101" s="823">
        <v>0</v>
      </c>
      <c r="M101" s="1163"/>
      <c r="N101" s="823">
        <v>0</v>
      </c>
      <c r="O101" s="1163"/>
      <c r="P101" s="823" t="e">
        <f t="shared" si="3"/>
        <v>#VALUE!</v>
      </c>
      <c r="Q101"/>
      <c r="R101"/>
      <c r="S101"/>
      <c r="T101" s="822"/>
    </row>
    <row r="102" spans="1:21" ht="15.75" customHeight="1">
      <c r="A102" s="925">
        <f t="shared" si="4"/>
        <v>77</v>
      </c>
      <c r="B102" s="822">
        <v>8910</v>
      </c>
      <c r="C102" s="182" t="s">
        <v>1039</v>
      </c>
      <c r="D102" s="823">
        <f>'C.2.1 B'!D127</f>
        <v>25851.91570686315</v>
      </c>
      <c r="E102" s="823"/>
      <c r="F102" s="823" t="e">
        <f>SUMIF('[12]Div 9 forecast'!$C$8:$C$421,$B102, '[12]Div 9 forecast'!$AL$8:$AL$421)</f>
        <v>#VALUE!</v>
      </c>
      <c r="G102" s="823"/>
      <c r="H102" s="823" t="e">
        <f>SUMIF('[12]Div 9 forecast'!$C$8:$C$421,$B102, '[12]Div 9 forecast'!$AM$8:$AM$421)</f>
        <v>#VALUE!</v>
      </c>
      <c r="I102" s="1163"/>
      <c r="J102" s="823" t="e">
        <f>SUMIF('[12]Div 9 forecast'!$C$8:$C$421,$B102, '[12]Div 9 forecast'!$AN$8:$AN$421)</f>
        <v>#VALUE!</v>
      </c>
      <c r="K102" s="823"/>
      <c r="L102" s="823">
        <v>0</v>
      </c>
      <c r="M102" s="1163"/>
      <c r="N102" s="823">
        <v>0</v>
      </c>
      <c r="O102" s="1163"/>
      <c r="P102" s="823" t="e">
        <f t="shared" si="3"/>
        <v>#VALUE!</v>
      </c>
      <c r="Q102"/>
      <c r="R102"/>
      <c r="S102"/>
      <c r="T102" s="822"/>
    </row>
    <row r="103" spans="1:21" ht="15.75" customHeight="1">
      <c r="A103" s="925">
        <f t="shared" si="4"/>
        <v>78</v>
      </c>
      <c r="B103" s="822">
        <v>8920</v>
      </c>
      <c r="C103" s="182" t="s">
        <v>1040</v>
      </c>
      <c r="D103" s="823">
        <f>'C.2.1 B'!D128</f>
        <v>3575.2200263111527</v>
      </c>
      <c r="E103" s="823"/>
      <c r="F103" s="823" t="e">
        <f>SUMIF('[12]Div 9 forecast'!$C$8:$C$421,$B103, '[12]Div 9 forecast'!$AL$8:$AL$421)</f>
        <v>#VALUE!</v>
      </c>
      <c r="G103" s="823"/>
      <c r="H103" s="823" t="e">
        <f>SUMIF('[12]Div 9 forecast'!$C$8:$C$421,$B103, '[12]Div 9 forecast'!$AM$8:$AM$421)</f>
        <v>#VALUE!</v>
      </c>
      <c r="I103" s="1163"/>
      <c r="J103" s="823" t="e">
        <f>SUMIF('[12]Div 9 forecast'!$C$8:$C$421,$B103, '[12]Div 9 forecast'!$AN$8:$AN$421)</f>
        <v>#VALUE!</v>
      </c>
      <c r="K103" s="823"/>
      <c r="L103" s="823">
        <v>0</v>
      </c>
      <c r="M103" s="1163"/>
      <c r="N103" s="823">
        <v>0</v>
      </c>
      <c r="O103" s="1163"/>
      <c r="P103" s="823" t="e">
        <f t="shared" si="3"/>
        <v>#VALUE!</v>
      </c>
      <c r="Q103"/>
      <c r="R103"/>
      <c r="S103"/>
      <c r="T103" s="822"/>
    </row>
    <row r="104" spans="1:21" ht="15.75" customHeight="1">
      <c r="A104" s="925">
        <f t="shared" si="4"/>
        <v>79</v>
      </c>
      <c r="B104" s="822">
        <v>8930</v>
      </c>
      <c r="C104" s="182" t="s">
        <v>1041</v>
      </c>
      <c r="D104" s="823">
        <f>'C.2.1 B'!D129</f>
        <v>105360.86137928165</v>
      </c>
      <c r="E104" s="823"/>
      <c r="F104" s="823" t="e">
        <f>SUMIF('[12]Div 9 forecast'!$C$8:$C$421,$B104, '[12]Div 9 forecast'!$AL$8:$AL$421)</f>
        <v>#VALUE!</v>
      </c>
      <c r="G104" s="823"/>
      <c r="H104" s="823" t="e">
        <f>SUMIF('[12]Div 9 forecast'!$C$8:$C$421,$B104, '[12]Div 9 forecast'!$AM$8:$AM$421)</f>
        <v>#VALUE!</v>
      </c>
      <c r="I104" s="1163"/>
      <c r="J104" s="823" t="e">
        <f>SUMIF('[12]Div 9 forecast'!$C$8:$C$421,$B104, '[12]Div 9 forecast'!$AN$8:$AN$421)</f>
        <v>#VALUE!</v>
      </c>
      <c r="K104" s="823"/>
      <c r="L104" s="823">
        <v>0</v>
      </c>
      <c r="M104" s="1163"/>
      <c r="N104" s="823">
        <v>0</v>
      </c>
      <c r="O104" s="1163"/>
      <c r="P104" s="823" t="e">
        <f t="shared" si="3"/>
        <v>#VALUE!</v>
      </c>
      <c r="Q104"/>
      <c r="R104"/>
      <c r="S104"/>
      <c r="T104" s="822"/>
    </row>
    <row r="105" spans="1:21" ht="15.75" customHeight="1">
      <c r="A105" s="925">
        <f t="shared" si="4"/>
        <v>80</v>
      </c>
      <c r="B105" s="822">
        <v>8940</v>
      </c>
      <c r="C105" s="182" t="s">
        <v>122</v>
      </c>
      <c r="D105" s="823">
        <f>'C.2.1 B'!D130</f>
        <v>72160.107789682326</v>
      </c>
      <c r="E105" s="823"/>
      <c r="F105" s="823" t="e">
        <f>SUMIF('[12]Div 9 forecast'!$C$8:$C$421,$B105, '[12]Div 9 forecast'!$AL$8:$AL$421)</f>
        <v>#VALUE!</v>
      </c>
      <c r="G105" s="1163"/>
      <c r="H105" s="823" t="e">
        <f>SUMIF('[12]Div 9 forecast'!$C$8:$C$421,$B105, '[12]Div 9 forecast'!$AM$8:$AM$421)</f>
        <v>#VALUE!</v>
      </c>
      <c r="I105" s="823"/>
      <c r="J105" s="823" t="e">
        <f>SUMIF('[12]Div 9 forecast'!$C$8:$C$421,$B105, '[12]Div 9 forecast'!$AN$8:$AN$421)</f>
        <v>#VALUE!</v>
      </c>
      <c r="K105" s="823"/>
      <c r="L105" s="823">
        <v>0</v>
      </c>
      <c r="M105" s="823"/>
      <c r="N105" s="823">
        <v>0</v>
      </c>
      <c r="O105" s="1163"/>
      <c r="P105" s="823" t="e">
        <f t="shared" si="3"/>
        <v>#VALUE!</v>
      </c>
      <c r="Q105"/>
      <c r="R105"/>
      <c r="S105"/>
      <c r="T105" s="822"/>
    </row>
    <row r="106" spans="1:21" ht="15.75" customHeight="1">
      <c r="A106" s="925">
        <f t="shared" si="4"/>
        <v>81</v>
      </c>
      <c r="B106" s="822">
        <v>8950</v>
      </c>
      <c r="C106" s="182" t="s">
        <v>239</v>
      </c>
      <c r="D106" s="823">
        <f>'C.2.1 B'!D131</f>
        <v>0</v>
      </c>
      <c r="E106" s="823"/>
      <c r="F106" s="823" t="e">
        <f>SUMIF('[12]Div 9 forecast'!$C$8:$C$421,$B106, '[12]Div 9 forecast'!$AL$8:$AL$421)</f>
        <v>#VALUE!</v>
      </c>
      <c r="G106" s="1163"/>
      <c r="H106" s="823" t="e">
        <f>SUMIF('[12]Div 9 forecast'!$C$8:$C$421,$B106, '[12]Div 9 forecast'!$AM$8:$AM$421)</f>
        <v>#VALUE!</v>
      </c>
      <c r="I106" s="823"/>
      <c r="J106" s="823" t="e">
        <f>SUMIF('[12]Div 9 forecast'!$C$8:$C$421,$B106, '[12]Div 9 forecast'!$AN$8:$AN$421)</f>
        <v>#VALUE!</v>
      </c>
      <c r="K106" s="823"/>
      <c r="L106" s="823">
        <v>0</v>
      </c>
      <c r="M106" s="823"/>
      <c r="N106" s="823">
        <v>0</v>
      </c>
      <c r="O106" s="1163"/>
      <c r="P106" s="823" t="e">
        <f t="shared" si="3"/>
        <v>#VALUE!</v>
      </c>
      <c r="Q106"/>
      <c r="R106"/>
      <c r="S106"/>
      <c r="T106" s="822"/>
    </row>
    <row r="107" spans="1:21" ht="15.75" customHeight="1">
      <c r="A107" s="925">
        <f t="shared" si="4"/>
        <v>82</v>
      </c>
      <c r="B107" s="822">
        <v>9010</v>
      </c>
      <c r="C107" s="182" t="s">
        <v>123</v>
      </c>
      <c r="D107" s="823">
        <f>'C.2.1 B'!D135</f>
        <v>0</v>
      </c>
      <c r="E107" s="823"/>
      <c r="F107" s="823" t="e">
        <f>SUMIF('[12]Div 9 forecast'!$C$8:$C$421,$B107, '[12]Div 9 forecast'!$AL$8:$AL$421)</f>
        <v>#VALUE!</v>
      </c>
      <c r="G107" s="1163"/>
      <c r="H107" s="823" t="e">
        <f>SUMIF('[12]Div 9 forecast'!$C$8:$C$421,$B107, '[12]Div 9 forecast'!$AM$8:$AM$421)</f>
        <v>#VALUE!</v>
      </c>
      <c r="I107" s="823"/>
      <c r="J107" s="823" t="e">
        <f>SUMIF('[12]Div 9 forecast'!$C$8:$C$421,$B107, '[12]Div 9 forecast'!$AN$8:$AN$421)</f>
        <v>#VALUE!</v>
      </c>
      <c r="K107" s="823"/>
      <c r="L107" s="823">
        <v>0</v>
      </c>
      <c r="M107" s="823"/>
      <c r="N107" s="823">
        <v>0</v>
      </c>
      <c r="O107" s="1163"/>
      <c r="P107" s="823" t="e">
        <f t="shared" si="3"/>
        <v>#VALUE!</v>
      </c>
      <c r="Q107"/>
      <c r="R107"/>
      <c r="S107"/>
      <c r="T107" s="822"/>
    </row>
    <row r="108" spans="1:21" ht="15.75" customHeight="1">
      <c r="A108" s="925">
        <f t="shared" si="4"/>
        <v>83</v>
      </c>
      <c r="B108" s="822">
        <v>9020</v>
      </c>
      <c r="C108" s="182" t="s">
        <v>124</v>
      </c>
      <c r="D108" s="823">
        <f>'C.2.1 B'!D136</f>
        <v>1202767.575172228</v>
      </c>
      <c r="E108" s="823"/>
      <c r="F108" s="823" t="e">
        <f>SUMIF('[12]Div 9 forecast'!$C$8:$C$421,$B108, '[12]Div 9 forecast'!$AL$8:$AL$421)</f>
        <v>#VALUE!</v>
      </c>
      <c r="G108" s="1163"/>
      <c r="H108" s="823" t="e">
        <f>SUMIF('[12]Div 9 forecast'!$C$8:$C$421,$B108, '[12]Div 9 forecast'!$AM$8:$AM$421)</f>
        <v>#VALUE!</v>
      </c>
      <c r="I108" s="823"/>
      <c r="J108" s="823" t="e">
        <f>SUMIF('[12]Div 9 forecast'!$C$8:$C$421,$B108, '[12]Div 9 forecast'!$AN$8:$AN$421)</f>
        <v>#VALUE!</v>
      </c>
      <c r="K108" s="823"/>
      <c r="L108" s="823">
        <v>0</v>
      </c>
      <c r="M108" s="823"/>
      <c r="N108" s="823">
        <v>0</v>
      </c>
      <c r="O108" s="1163"/>
      <c r="P108" s="823" t="e">
        <f t="shared" si="3"/>
        <v>#VALUE!</v>
      </c>
      <c r="Q108"/>
      <c r="R108"/>
      <c r="S108"/>
      <c r="T108" s="822"/>
      <c r="U108" s="822"/>
    </row>
    <row r="109" spans="1:21" ht="15.75" customHeight="1">
      <c r="A109" s="925">
        <f t="shared" si="4"/>
        <v>84</v>
      </c>
      <c r="B109" s="822">
        <v>9030</v>
      </c>
      <c r="C109" s="182" t="s">
        <v>125</v>
      </c>
      <c r="D109" s="823">
        <f>'C.2.1 B'!D137</f>
        <v>379869.58454602241</v>
      </c>
      <c r="E109" s="823"/>
      <c r="F109" s="823" t="e">
        <f>SUMIF('[12]Div 9 forecast'!$C$8:$C$421,$B109, '[12]Div 9 forecast'!$AL$8:$AL$421)</f>
        <v>#VALUE!</v>
      </c>
      <c r="G109" s="1163"/>
      <c r="H109" s="823" t="e">
        <f>SUMIF('[12]Div 9 forecast'!$C$8:$C$421,$B109, '[12]Div 9 forecast'!$AM$8:$AM$421)</f>
        <v>#VALUE!</v>
      </c>
      <c r="I109" s="823"/>
      <c r="J109" s="823" t="e">
        <f>SUMIF('[12]Div 9 forecast'!$C$8:$C$421,$B109, '[12]Div 9 forecast'!$AN$8:$AN$421)</f>
        <v>#VALUE!</v>
      </c>
      <c r="K109" s="823"/>
      <c r="L109" s="823">
        <v>0</v>
      </c>
      <c r="M109" s="823"/>
      <c r="N109" s="823">
        <v>0</v>
      </c>
      <c r="O109" s="1163"/>
      <c r="P109" s="823" t="e">
        <f t="shared" si="3"/>
        <v>#VALUE!</v>
      </c>
      <c r="Q109"/>
      <c r="R109"/>
      <c r="S109"/>
      <c r="T109" s="822"/>
    </row>
    <row r="110" spans="1:21" ht="15.75" customHeight="1">
      <c r="A110" s="925">
        <f t="shared" si="4"/>
        <v>85</v>
      </c>
      <c r="B110" s="822">
        <v>9040</v>
      </c>
      <c r="C110" s="182" t="s">
        <v>126</v>
      </c>
      <c r="D110" s="823">
        <f>'C.2.1 B'!D138</f>
        <v>564321.71039999998</v>
      </c>
      <c r="E110" s="823"/>
      <c r="F110" s="823" t="e">
        <f>SUMIF('[12]Div 9 forecast'!$C$8:$C$421,$B110, '[12]Div 9 forecast'!$AL$8:$AL$421)</f>
        <v>#VALUE!</v>
      </c>
      <c r="G110" s="1163"/>
      <c r="H110" s="823" t="e">
        <f>SUMIF('[12]Div 9 forecast'!$C$8:$C$421,$B110, '[12]Div 9 forecast'!$AM$8:$AM$421)</f>
        <v>#VALUE!</v>
      </c>
      <c r="I110" s="823"/>
      <c r="J110" s="823" t="e">
        <f>SUMIF('[12]Div 9 forecast'!$C$8:$C$421,$B110, '[12]Div 9 forecast'!$AN$8:$AN$421)</f>
        <v>#VALUE!</v>
      </c>
      <c r="K110" s="823"/>
      <c r="L110" s="823">
        <f>'[12]Div 9 forecast'!$AJ$405</f>
        <v>-250895.52998466406</v>
      </c>
      <c r="M110" s="823"/>
      <c r="N110" s="823">
        <v>0</v>
      </c>
      <c r="O110" s="1163"/>
      <c r="P110" s="823" t="e">
        <f t="shared" si="3"/>
        <v>#VALUE!</v>
      </c>
      <c r="Q110"/>
      <c r="R110"/>
      <c r="S110"/>
      <c r="T110" s="822"/>
    </row>
    <row r="111" spans="1:21" ht="15.75" customHeight="1">
      <c r="A111" s="925">
        <f t="shared" si="4"/>
        <v>86</v>
      </c>
      <c r="B111" s="822">
        <v>9070</v>
      </c>
      <c r="C111" s="182" t="s">
        <v>29</v>
      </c>
      <c r="D111" s="823">
        <f>'C.2.1 B'!D142</f>
        <v>0</v>
      </c>
      <c r="E111" s="823"/>
      <c r="F111" s="823" t="e">
        <f>SUMIF('[12]Div 9 forecast'!$C$8:$C$421,$B111, '[12]Div 9 forecast'!$AL$8:$AL$421)</f>
        <v>#VALUE!</v>
      </c>
      <c r="G111" s="1163"/>
      <c r="H111" s="823" t="e">
        <f>SUMIF('[12]Div 9 forecast'!$C$8:$C$421,$B111, '[12]Div 9 forecast'!$AM$8:$AM$421)</f>
        <v>#VALUE!</v>
      </c>
      <c r="I111" s="823"/>
      <c r="J111" s="823" t="e">
        <f>SUMIF('[12]Div 9 forecast'!$C$8:$C$421,$B111, '[12]Div 9 forecast'!$AN$8:$AN$421)</f>
        <v>#VALUE!</v>
      </c>
      <c r="K111" s="823"/>
      <c r="L111" s="823">
        <v>0</v>
      </c>
      <c r="M111" s="823"/>
      <c r="N111" s="823">
        <v>0</v>
      </c>
      <c r="O111" s="1163"/>
      <c r="P111" s="823" t="e">
        <f t="shared" si="3"/>
        <v>#VALUE!</v>
      </c>
      <c r="Q111"/>
      <c r="R111"/>
      <c r="S111"/>
      <c r="T111" s="822"/>
    </row>
    <row r="112" spans="1:21" ht="15.75" customHeight="1">
      <c r="A112" s="925">
        <f t="shared" si="4"/>
        <v>87</v>
      </c>
      <c r="B112" s="822">
        <v>9080</v>
      </c>
      <c r="C112" s="182" t="s">
        <v>30</v>
      </c>
      <c r="D112" s="823">
        <f>'C.2.1 B'!D143</f>
        <v>0</v>
      </c>
      <c r="E112" s="823"/>
      <c r="F112" s="823" t="e">
        <f>SUMIF('[12]Div 9 forecast'!$C$8:$C$421,$B112, '[12]Div 9 forecast'!$AL$8:$AL$421)</f>
        <v>#VALUE!</v>
      </c>
      <c r="G112" s="1163"/>
      <c r="H112" s="823" t="e">
        <f>SUMIF('[12]Div 9 forecast'!$C$8:$C$421,$B112, '[12]Div 9 forecast'!$AM$8:$AM$421)</f>
        <v>#VALUE!</v>
      </c>
      <c r="I112" s="823"/>
      <c r="J112" s="823" t="e">
        <f>SUMIF('[12]Div 9 forecast'!$C$8:$C$421,$B112, '[12]Div 9 forecast'!$AN$8:$AN$421)</f>
        <v>#VALUE!</v>
      </c>
      <c r="K112" s="823"/>
      <c r="L112" s="823">
        <v>0</v>
      </c>
      <c r="M112" s="823"/>
      <c r="N112" s="823">
        <v>0</v>
      </c>
      <c r="O112" s="1163"/>
      <c r="P112" s="823" t="e">
        <f t="shared" si="3"/>
        <v>#VALUE!</v>
      </c>
      <c r="Q112"/>
      <c r="R112"/>
      <c r="S112"/>
      <c r="T112" s="822"/>
    </row>
    <row r="113" spans="1:20" ht="15.75" customHeight="1">
      <c r="A113" s="925">
        <f t="shared" si="4"/>
        <v>88</v>
      </c>
      <c r="B113" s="822">
        <v>9090</v>
      </c>
      <c r="C113" s="182" t="s">
        <v>127</v>
      </c>
      <c r="D113" s="823">
        <f>'C.2.1 B'!D144</f>
        <v>125152.43264437889</v>
      </c>
      <c r="E113" s="823"/>
      <c r="F113" s="823" t="e">
        <f>SUMIF('[12]Div 9 forecast'!$C$8:$C$421,$B113, '[12]Div 9 forecast'!$AL$8:$AL$421)</f>
        <v>#VALUE!</v>
      </c>
      <c r="G113" s="1163"/>
      <c r="H113" s="823" t="e">
        <f>SUMIF('[12]Div 9 forecast'!$C$8:$C$421,$B113, '[12]Div 9 forecast'!$AM$8:$AM$421)</f>
        <v>#VALUE!</v>
      </c>
      <c r="I113" s="823"/>
      <c r="J113" s="823" t="e">
        <f>SUMIF('[12]Div 9 forecast'!$C$8:$C$421,$B113, '[12]Div 9 forecast'!$AN$8:$AN$421)</f>
        <v>#VALUE!</v>
      </c>
      <c r="K113" s="823"/>
      <c r="L113" s="823">
        <v>0</v>
      </c>
      <c r="M113" s="823"/>
      <c r="N113" s="823">
        <v>0</v>
      </c>
      <c r="O113" s="1163"/>
      <c r="P113" s="823" t="e">
        <f t="shared" si="3"/>
        <v>#VALUE!</v>
      </c>
      <c r="Q113"/>
      <c r="R113"/>
      <c r="S113"/>
      <c r="T113" s="822"/>
    </row>
    <row r="114" spans="1:20" ht="15.75" customHeight="1">
      <c r="A114" s="925">
        <f t="shared" si="4"/>
        <v>89</v>
      </c>
      <c r="B114" s="822">
        <v>9100</v>
      </c>
      <c r="C114" s="182" t="s">
        <v>128</v>
      </c>
      <c r="D114" s="823">
        <f>'C.2.1 B'!D145</f>
        <v>183.78356405221172</v>
      </c>
      <c r="E114" s="823"/>
      <c r="F114" s="823" t="e">
        <f>SUMIF('[12]Div 9 forecast'!$C$8:$C$421,$B114, '[12]Div 9 forecast'!$AL$8:$AL$421)</f>
        <v>#VALUE!</v>
      </c>
      <c r="G114" s="1163"/>
      <c r="H114" s="823" t="e">
        <f>SUMIF('[12]Div 9 forecast'!$C$8:$C$421,$B114, '[12]Div 9 forecast'!$AM$8:$AM$421)</f>
        <v>#VALUE!</v>
      </c>
      <c r="I114" s="823"/>
      <c r="J114" s="823" t="e">
        <f>SUMIF('[12]Div 9 forecast'!$C$8:$C$421,$B114, '[12]Div 9 forecast'!$AN$8:$AN$421)</f>
        <v>#VALUE!</v>
      </c>
      <c r="K114" s="823"/>
      <c r="L114" s="823">
        <v>0</v>
      </c>
      <c r="M114" s="823"/>
      <c r="N114" s="823">
        <v>0</v>
      </c>
      <c r="O114" s="1163"/>
      <c r="P114" s="823" t="e">
        <f t="shared" si="3"/>
        <v>#VALUE!</v>
      </c>
      <c r="Q114"/>
      <c r="R114"/>
      <c r="S114"/>
      <c r="T114" s="822"/>
    </row>
    <row r="115" spans="1:20" ht="15.75" customHeight="1">
      <c r="A115" s="925">
        <f t="shared" si="4"/>
        <v>90</v>
      </c>
      <c r="B115" s="1040">
        <v>9110</v>
      </c>
      <c r="C115" s="1041" t="s">
        <v>230</v>
      </c>
      <c r="D115" s="823">
        <f>'C.2.1 B'!D149</f>
        <v>257746.70503193676</v>
      </c>
      <c r="E115" s="823"/>
      <c r="F115" s="823" t="e">
        <f>SUMIF('[12]Div 9 forecast'!$C$8:$C$421,$B115, '[12]Div 9 forecast'!$AL$8:$AL$421)</f>
        <v>#VALUE!</v>
      </c>
      <c r="G115" s="1163"/>
      <c r="H115" s="823" t="e">
        <f>SUMIF('[12]Div 9 forecast'!$C$8:$C$421,$B115, '[12]Div 9 forecast'!$AM$8:$AM$421)</f>
        <v>#VALUE!</v>
      </c>
      <c r="I115" s="823"/>
      <c r="J115" s="823" t="e">
        <f>SUMIF('[12]Div 9 forecast'!$C$8:$C$421,$B115, '[12]Div 9 forecast'!$AN$8:$AN$421)</f>
        <v>#VALUE!</v>
      </c>
      <c r="K115" s="823"/>
      <c r="L115" s="823">
        <v>0</v>
      </c>
      <c r="M115" s="823"/>
      <c r="N115" s="823">
        <v>0</v>
      </c>
      <c r="O115" s="1163"/>
      <c r="P115" s="823" t="e">
        <f t="shared" si="3"/>
        <v>#VALUE!</v>
      </c>
      <c r="Q115"/>
      <c r="R115"/>
      <c r="S115"/>
      <c r="T115" s="822"/>
    </row>
    <row r="116" spans="1:20" ht="15.75" customHeight="1">
      <c r="A116" s="925">
        <f t="shared" si="4"/>
        <v>91</v>
      </c>
      <c r="B116" s="1040">
        <v>9120</v>
      </c>
      <c r="C116" s="1041" t="s">
        <v>468</v>
      </c>
      <c r="D116" s="823">
        <f>'C.2.1 B'!D150</f>
        <v>56174.592297134361</v>
      </c>
      <c r="E116" s="823"/>
      <c r="F116" s="823" t="e">
        <f>SUMIF('[12]Div 9 forecast'!$C$8:$C$421,$B116, '[12]Div 9 forecast'!$AL$8:$AL$421)</f>
        <v>#VALUE!</v>
      </c>
      <c r="G116" s="1163"/>
      <c r="H116" s="823" t="e">
        <f>SUMIF('[12]Div 9 forecast'!$C$8:$C$421,$B116, '[12]Div 9 forecast'!$AM$8:$AM$421)</f>
        <v>#VALUE!</v>
      </c>
      <c r="I116" s="823"/>
      <c r="J116" s="823" t="e">
        <f>SUMIF('[12]Div 9 forecast'!$C$8:$C$421,$B116, '[12]Div 9 forecast'!$AN$8:$AN$421)</f>
        <v>#VALUE!</v>
      </c>
      <c r="K116" s="823"/>
      <c r="L116" s="823">
        <v>0</v>
      </c>
      <c r="M116" s="823"/>
      <c r="N116" s="823">
        <v>0</v>
      </c>
      <c r="O116" s="1163"/>
      <c r="P116" s="823" t="e">
        <f t="shared" si="3"/>
        <v>#VALUE!</v>
      </c>
      <c r="Q116"/>
      <c r="R116"/>
      <c r="S116"/>
      <c r="T116" s="822"/>
    </row>
    <row r="117" spans="1:20" ht="15.75" customHeight="1">
      <c r="A117" s="1011">
        <f t="shared" si="4"/>
        <v>92</v>
      </c>
      <c r="B117" s="1040">
        <v>9130</v>
      </c>
      <c r="C117" s="1041" t="s">
        <v>469</v>
      </c>
      <c r="D117" s="823">
        <f>'C.2.1 B'!D151</f>
        <v>23114.350742867809</v>
      </c>
      <c r="E117" s="823"/>
      <c r="F117" s="823" t="e">
        <f>SUMIF('[12]Div 9 forecast'!$C$8:$C$421,$B117, '[12]Div 9 forecast'!$AL$8:$AL$421)</f>
        <v>#VALUE!</v>
      </c>
      <c r="G117" s="1163"/>
      <c r="H117" s="823" t="e">
        <f>SUMIF('[12]Div 9 forecast'!$C$8:$C$421,$B117, '[12]Div 9 forecast'!$AM$8:$AM$421)</f>
        <v>#VALUE!</v>
      </c>
      <c r="I117" s="823"/>
      <c r="J117" s="823" t="e">
        <f>SUMIF('[12]Div 9 forecast'!$C$8:$C$421,$B117, '[12]Div 9 forecast'!$AN$8:$AN$421)</f>
        <v>#VALUE!</v>
      </c>
      <c r="K117" s="823"/>
      <c r="L117" s="823">
        <v>0</v>
      </c>
      <c r="M117" s="823"/>
      <c r="N117" s="823">
        <v>0</v>
      </c>
      <c r="O117" s="1163"/>
      <c r="P117" s="823" t="e">
        <f t="shared" si="3"/>
        <v>#VALUE!</v>
      </c>
      <c r="Q117"/>
      <c r="R117"/>
      <c r="S117"/>
      <c r="T117" s="822"/>
    </row>
    <row r="118" spans="1:20" ht="15.75" customHeight="1">
      <c r="A118" s="1011">
        <f t="shared" si="4"/>
        <v>93</v>
      </c>
      <c r="B118" s="1040">
        <v>9160</v>
      </c>
      <c r="C118" s="1041" t="s">
        <v>231</v>
      </c>
      <c r="D118" s="823">
        <f>'C.2.1 B'!D152</f>
        <v>0</v>
      </c>
      <c r="E118" s="823"/>
      <c r="F118" s="823" t="e">
        <f>SUMIF('[12]Div 9 forecast'!$C$8:$C$421,$B118, '[12]Div 9 forecast'!$AL$8:$AL$421)</f>
        <v>#VALUE!</v>
      </c>
      <c r="G118" s="1163"/>
      <c r="H118" s="823" t="e">
        <f>SUMIF('[12]Div 9 forecast'!$C$8:$C$421,$B118, '[12]Div 9 forecast'!$AM$8:$AM$421)</f>
        <v>#VALUE!</v>
      </c>
      <c r="I118" s="823"/>
      <c r="J118" s="823" t="e">
        <f>SUMIF('[12]Div 9 forecast'!$C$8:$C$421,$B118, '[12]Div 9 forecast'!$AN$8:$AN$421)</f>
        <v>#VALUE!</v>
      </c>
      <c r="K118" s="823"/>
      <c r="L118" s="823">
        <v>0</v>
      </c>
      <c r="M118" s="823"/>
      <c r="N118" s="823">
        <v>0</v>
      </c>
      <c r="O118" s="1163"/>
      <c r="P118" s="823" t="e">
        <f t="shared" si="3"/>
        <v>#VALUE!</v>
      </c>
      <c r="Q118"/>
      <c r="R118"/>
      <c r="S118"/>
      <c r="T118" s="822"/>
    </row>
    <row r="119" spans="1:20" ht="15.75" customHeight="1">
      <c r="A119" s="1011">
        <f t="shared" si="4"/>
        <v>94</v>
      </c>
      <c r="B119" s="1040">
        <v>9200</v>
      </c>
      <c r="C119" s="1041" t="s">
        <v>1344</v>
      </c>
      <c r="D119" s="823">
        <f>'C.2.1 B'!D156</f>
        <v>134097.63307528791</v>
      </c>
      <c r="E119" s="823"/>
      <c r="F119" s="823" t="e">
        <f>SUMIF('[12]Div 9 forecast'!$C$8:$C$421,$B119, '[12]Div 9 forecast'!$AL$8:$AL$421)</f>
        <v>#VALUE!</v>
      </c>
      <c r="G119" s="1163"/>
      <c r="H119" s="823" t="e">
        <f>SUMIF('[12]Div 9 forecast'!$C$8:$C$421,$B119, '[12]Div 9 forecast'!$AM$8:$AM$421)</f>
        <v>#VALUE!</v>
      </c>
      <c r="I119" s="823"/>
      <c r="J119" s="823" t="e">
        <f>SUMIF('[12]Div 9 forecast'!$C$8:$C$421,$B119, '[12]Div 9 forecast'!$AN$8:$AN$421)</f>
        <v>#VALUE!</v>
      </c>
      <c r="K119" s="823"/>
      <c r="L119" s="823">
        <v>0</v>
      </c>
      <c r="M119" s="823"/>
      <c r="N119" s="823">
        <v>0</v>
      </c>
      <c r="O119" s="1163"/>
      <c r="P119" s="823" t="e">
        <f>SUM(F119:O119)</f>
        <v>#VALUE!</v>
      </c>
      <c r="Q119"/>
      <c r="R119"/>
      <c r="S119"/>
      <c r="T119" s="822"/>
    </row>
    <row r="120" spans="1:20" ht="15.75" customHeight="1">
      <c r="A120" s="1011">
        <f t="shared" si="4"/>
        <v>95</v>
      </c>
      <c r="B120" s="822">
        <v>9210</v>
      </c>
      <c r="C120" s="182" t="s">
        <v>232</v>
      </c>
      <c r="D120" s="823">
        <f>'C.2.1 B'!D157</f>
        <v>7609.9836462125641</v>
      </c>
      <c r="E120" s="823"/>
      <c r="F120" s="823" t="e">
        <f>SUMIF('[12]Div 9 forecast'!$C$8:$C$421,$B120, '[12]Div 9 forecast'!$AL$8:$AL$421)</f>
        <v>#VALUE!</v>
      </c>
      <c r="G120" s="1163"/>
      <c r="H120" s="823" t="e">
        <f>SUMIF('[12]Div 9 forecast'!$C$8:$C$421,$B120, '[12]Div 9 forecast'!$AM$8:$AM$421)</f>
        <v>#VALUE!</v>
      </c>
      <c r="I120" s="823"/>
      <c r="J120" s="823" t="e">
        <f>SUMIF('[12]Div 9 forecast'!$C$8:$C$421,$B120, '[12]Div 9 forecast'!$AN$8:$AN$421)</f>
        <v>#VALUE!</v>
      </c>
      <c r="K120" s="823"/>
      <c r="L120" s="823">
        <v>0</v>
      </c>
      <c r="M120" s="823"/>
      <c r="N120" s="823">
        <v>0</v>
      </c>
      <c r="O120" s="1163"/>
      <c r="P120" s="823" t="e">
        <f>SUM(F120:O120)</f>
        <v>#VALUE!</v>
      </c>
      <c r="Q120"/>
      <c r="R120"/>
      <c r="S120"/>
      <c r="T120" s="822"/>
    </row>
    <row r="121" spans="1:20" ht="15">
      <c r="A121" s="1011">
        <f t="shared" si="4"/>
        <v>96</v>
      </c>
      <c r="B121" s="822">
        <v>9220</v>
      </c>
      <c r="C121" s="182" t="s">
        <v>217</v>
      </c>
      <c r="D121" s="823">
        <f>'C.2.1 B'!D158</f>
        <v>13070219.117788246</v>
      </c>
      <c r="E121" s="823"/>
      <c r="F121" s="823" t="e">
        <f>SUMIF('[12]Div 9 forecast'!$C$8:$C$421,$B121, '[12]Div 9 forecast'!$AL$8:$AL$421)</f>
        <v>#VALUE!</v>
      </c>
      <c r="G121" s="1163"/>
      <c r="H121" s="823" t="e">
        <f>SUMIF('[12]Div 9 forecast'!$C$8:$C$421,$B121, '[12]Div 9 forecast'!$AM$8:$AM$421)</f>
        <v>#VALUE!</v>
      </c>
      <c r="I121" s="823"/>
      <c r="J121" s="823" t="e">
        <f>SUMIF('[12]Div 9 forecast'!$C$8:$C$421,$B121, '[12]Div 9 forecast'!$AN$8:$AN$421)</f>
        <v>#VALUE!</v>
      </c>
      <c r="K121" s="823"/>
      <c r="L121" s="823">
        <v>0</v>
      </c>
      <c r="M121" s="823"/>
      <c r="N121" s="823">
        <f>'C.2.2-F 09'!P99-'C.2.2 B 09'!P99</f>
        <v>955058.20888760872</v>
      </c>
      <c r="O121" s="1163"/>
      <c r="P121" s="823" t="e">
        <f t="shared" si="3"/>
        <v>#VALUE!</v>
      </c>
      <c r="Q121"/>
      <c r="R121"/>
      <c r="S121" s="820"/>
      <c r="T121" s="1042"/>
    </row>
    <row r="122" spans="1:20" ht="15.75" customHeight="1">
      <c r="A122" s="1011">
        <f t="shared" si="4"/>
        <v>97</v>
      </c>
      <c r="B122" s="822">
        <v>9230</v>
      </c>
      <c r="C122" s="182" t="s">
        <v>233</v>
      </c>
      <c r="D122" s="823">
        <f>'C.2.1 B'!D159</f>
        <v>201632.49667933921</v>
      </c>
      <c r="E122" s="823"/>
      <c r="F122" s="823" t="e">
        <f>SUMIF('[12]Div 9 forecast'!$C$8:$C$421,$B122, '[12]Div 9 forecast'!$AL$8:$AL$421)</f>
        <v>#VALUE!</v>
      </c>
      <c r="G122" s="1163"/>
      <c r="H122" s="823" t="e">
        <f>SUMIF('[12]Div 9 forecast'!$C$8:$C$421,$B122, '[12]Div 9 forecast'!$AM$8:$AM$421)</f>
        <v>#VALUE!</v>
      </c>
      <c r="I122" s="823"/>
      <c r="J122" s="823" t="e">
        <f>SUMIF('[12]Div 9 forecast'!$C$8:$C$421,$B122, '[12]Div 9 forecast'!$AN$8:$AN$421)</f>
        <v>#VALUE!</v>
      </c>
      <c r="K122" s="823"/>
      <c r="L122" s="823">
        <v>0</v>
      </c>
      <c r="M122" s="823"/>
      <c r="N122" s="823">
        <v>0</v>
      </c>
      <c r="O122" s="1163"/>
      <c r="P122" s="823" t="e">
        <f t="shared" si="3"/>
        <v>#VALUE!</v>
      </c>
      <c r="Q122"/>
      <c r="R122"/>
      <c r="S122"/>
      <c r="T122" s="822"/>
    </row>
    <row r="123" spans="1:20" ht="15.75" customHeight="1">
      <c r="A123" s="1011">
        <f t="shared" si="4"/>
        <v>98</v>
      </c>
      <c r="B123" s="822">
        <v>9240</v>
      </c>
      <c r="C123" s="182" t="s">
        <v>470</v>
      </c>
      <c r="D123" s="823">
        <f>'C.2.1 B'!D160</f>
        <v>84990.611116541942</v>
      </c>
      <c r="E123" s="823"/>
      <c r="F123" s="823" t="e">
        <f>SUMIF('[12]Div 9 forecast'!$C$8:$C$421,$B123, '[12]Div 9 forecast'!$AL$8:$AL$421)</f>
        <v>#VALUE!</v>
      </c>
      <c r="G123" s="1163"/>
      <c r="H123" s="823" t="e">
        <f>SUMIF('[12]Div 9 forecast'!$C$8:$C$421,$B123, '[12]Div 9 forecast'!$AM$8:$AM$421)</f>
        <v>#VALUE!</v>
      </c>
      <c r="I123" s="823"/>
      <c r="J123" s="823" t="e">
        <f>SUMIF('[12]Div 9 forecast'!$C$8:$C$421,$B123, '[12]Div 9 forecast'!$AN$8:$AN$421)</f>
        <v>#VALUE!</v>
      </c>
      <c r="K123" s="823"/>
      <c r="L123" s="823">
        <v>0</v>
      </c>
      <c r="M123" s="823"/>
      <c r="N123" s="823">
        <v>0</v>
      </c>
      <c r="O123" s="1163"/>
      <c r="P123" s="823" t="e">
        <f t="shared" si="3"/>
        <v>#VALUE!</v>
      </c>
      <c r="Q123"/>
      <c r="R123"/>
      <c r="S123"/>
      <c r="T123" s="822"/>
    </row>
    <row r="124" spans="1:20" ht="15.75" customHeight="1">
      <c r="A124" s="1011">
        <f t="shared" si="4"/>
        <v>99</v>
      </c>
      <c r="B124" s="822">
        <v>9250</v>
      </c>
      <c r="C124" s="182" t="s">
        <v>1086</v>
      </c>
      <c r="D124" s="823">
        <f>'C.2.1 B'!D161</f>
        <v>232180.71802061409</v>
      </c>
      <c r="E124" s="823"/>
      <c r="F124" s="823" t="e">
        <f>SUMIF('[12]Div 9 forecast'!$C$8:$C$421,$B124, '[12]Div 9 forecast'!$AL$8:$AL$421)</f>
        <v>#VALUE!</v>
      </c>
      <c r="G124" s="1163"/>
      <c r="H124" s="823" t="e">
        <f>SUMIF('[12]Div 9 forecast'!$C$8:$C$421,$B124, '[12]Div 9 forecast'!$AM$8:$AM$421)</f>
        <v>#VALUE!</v>
      </c>
      <c r="I124" s="823"/>
      <c r="J124" s="823" t="e">
        <f>SUMIF('[12]Div 9 forecast'!$C$8:$C$421,$B124, '[12]Div 9 forecast'!$AN$8:$AN$421)</f>
        <v>#VALUE!</v>
      </c>
      <c r="K124" s="823"/>
      <c r="L124" s="823">
        <v>0</v>
      </c>
      <c r="M124" s="823"/>
      <c r="N124" s="823">
        <v>0</v>
      </c>
      <c r="O124" s="1163"/>
      <c r="P124" s="823" t="e">
        <f t="shared" si="3"/>
        <v>#VALUE!</v>
      </c>
      <c r="Q124"/>
      <c r="R124"/>
      <c r="S124"/>
      <c r="T124" s="822"/>
    </row>
    <row r="125" spans="1:20" ht="15.75" customHeight="1">
      <c r="A125" s="1011">
        <f t="shared" si="4"/>
        <v>100</v>
      </c>
      <c r="B125" s="822">
        <v>9260</v>
      </c>
      <c r="C125" s="182" t="s">
        <v>1087</v>
      </c>
      <c r="D125" s="823">
        <f>'C.2.1 B'!D162</f>
        <v>2194043.9592287075</v>
      </c>
      <c r="E125" s="823"/>
      <c r="F125" s="823" t="e">
        <f>SUMIF('[12]Div 9 forecast'!$C$8:$C$421,$B125, '[12]Div 9 forecast'!$AL$8:$AL$421)</f>
        <v>#VALUE!</v>
      </c>
      <c r="G125" s="1163"/>
      <c r="H125" s="823" t="e">
        <f>SUMIF('[12]Div 9 forecast'!$C$8:$C$421,$B125, '[12]Div 9 forecast'!$AM$8:$AM$421)</f>
        <v>#VALUE!</v>
      </c>
      <c r="I125" s="823"/>
      <c r="J125" s="823" t="e">
        <f>SUMIF('[12]Div 9 forecast'!$C$8:$C$421,$B125, '[12]Div 9 forecast'!$AN$8:$AN$421)</f>
        <v>#VALUE!</v>
      </c>
      <c r="K125" s="823"/>
      <c r="L125" s="823">
        <v>0</v>
      </c>
      <c r="M125" s="823"/>
      <c r="N125" s="823">
        <v>0</v>
      </c>
      <c r="O125" s="1163"/>
      <c r="P125" s="823" t="e">
        <f t="shared" si="3"/>
        <v>#VALUE!</v>
      </c>
      <c r="Q125"/>
      <c r="R125"/>
      <c r="S125"/>
      <c r="T125" s="822"/>
    </row>
    <row r="126" spans="1:20" ht="15.75" customHeight="1">
      <c r="A126" s="1011">
        <f t="shared" si="4"/>
        <v>101</v>
      </c>
      <c r="B126" s="822">
        <v>9270</v>
      </c>
      <c r="C126" s="182" t="s">
        <v>1201</v>
      </c>
      <c r="D126" s="823">
        <f>'C.2.1 B'!D163</f>
        <v>386.17244583493357</v>
      </c>
      <c r="E126" s="823"/>
      <c r="F126" s="823" t="e">
        <f>SUMIF('[12]Div 9 forecast'!$C$8:$C$421,$B126, '[12]Div 9 forecast'!$AL$8:$AL$421)</f>
        <v>#VALUE!</v>
      </c>
      <c r="G126" s="1163"/>
      <c r="H126" s="823" t="e">
        <f>SUMIF('[12]Div 9 forecast'!$C$8:$C$421,$B126, '[12]Div 9 forecast'!$AM$8:$AM$421)</f>
        <v>#VALUE!</v>
      </c>
      <c r="I126" s="823"/>
      <c r="J126" s="823" t="e">
        <f>SUMIF('[12]Div 9 forecast'!$C$8:$C$421,$B126, '[12]Div 9 forecast'!$AN$8:$AN$421)</f>
        <v>#VALUE!</v>
      </c>
      <c r="K126" s="823"/>
      <c r="L126" s="823">
        <v>0</v>
      </c>
      <c r="M126" s="823"/>
      <c r="N126" s="823">
        <v>0</v>
      </c>
      <c r="O126" s="1163"/>
      <c r="P126" s="823" t="e">
        <f t="shared" si="3"/>
        <v>#VALUE!</v>
      </c>
      <c r="Q126"/>
      <c r="R126"/>
      <c r="S126"/>
      <c r="T126" s="822"/>
    </row>
    <row r="127" spans="1:20" ht="15.75" customHeight="1">
      <c r="A127" s="1011">
        <f t="shared" si="4"/>
        <v>102</v>
      </c>
      <c r="B127" s="822">
        <v>9280</v>
      </c>
      <c r="C127" s="182" t="s">
        <v>1202</v>
      </c>
      <c r="D127" s="823">
        <f>'C.2.1 B'!D164</f>
        <v>11737.380528926924</v>
      </c>
      <c r="E127" s="823"/>
      <c r="F127" s="823" t="e">
        <f>SUMIF('[12]Div 9 forecast'!$C$8:$C$421,$B127, '[12]Div 9 forecast'!$AL$8:$AL$421)</f>
        <v>#VALUE!</v>
      </c>
      <c r="G127" s="1163"/>
      <c r="H127" s="823" t="e">
        <f>SUMIF('[12]Div 9 forecast'!$C$8:$C$421,$B127, '[12]Div 9 forecast'!$AM$8:$AM$421)</f>
        <v>#VALUE!</v>
      </c>
      <c r="I127" s="823"/>
      <c r="J127" s="823" t="e">
        <f>SUMIF('[12]Div 9 forecast'!$C$8:$C$421,$B127, '[12]Div 9 forecast'!$AN$8:$AN$421)</f>
        <v>#VALUE!</v>
      </c>
      <c r="K127" s="823"/>
      <c r="L127" s="823">
        <v>0</v>
      </c>
      <c r="M127" s="823"/>
      <c r="N127" s="823">
        <v>0</v>
      </c>
      <c r="O127" s="1163"/>
      <c r="P127" s="823" t="e">
        <f t="shared" si="3"/>
        <v>#VALUE!</v>
      </c>
      <c r="Q127"/>
      <c r="R127"/>
      <c r="S127"/>
      <c r="T127" s="822"/>
    </row>
    <row r="128" spans="1:20" ht="15.75" customHeight="1">
      <c r="A128" s="1011">
        <f t="shared" si="4"/>
        <v>103</v>
      </c>
      <c r="B128" s="822">
        <v>9290</v>
      </c>
      <c r="C128" s="182" t="s">
        <v>487</v>
      </c>
      <c r="D128" s="823">
        <v>0</v>
      </c>
      <c r="E128" s="823"/>
      <c r="F128" s="823" t="e">
        <f>SUMIF('[12]Div 9 forecast'!$C$8:$C$421,$B128, '[12]Div 9 forecast'!$AL$8:$AL$421)</f>
        <v>#VALUE!</v>
      </c>
      <c r="G128" s="1163"/>
      <c r="H128" s="823" t="e">
        <f>SUMIF('[12]Div 9 forecast'!$C$8:$C$421,$B128, '[12]Div 9 forecast'!$AM$8:$AM$421)</f>
        <v>#VALUE!</v>
      </c>
      <c r="I128" s="823"/>
      <c r="J128" s="823" t="e">
        <f>SUMIF('[12]Div 9 forecast'!$C$8:$C$421,$B128, '[12]Div 9 forecast'!$AN$8:$AN$421)</f>
        <v>#VALUE!</v>
      </c>
      <c r="K128" s="823"/>
      <c r="L128" s="823">
        <v>0</v>
      </c>
      <c r="M128" s="823"/>
      <c r="N128" s="823">
        <v>0</v>
      </c>
      <c r="O128" s="1163"/>
      <c r="P128" s="823" t="e">
        <f t="shared" si="3"/>
        <v>#VALUE!</v>
      </c>
      <c r="Q128"/>
      <c r="R128"/>
      <c r="S128"/>
      <c r="T128" s="822"/>
    </row>
    <row r="129" spans="1:20" ht="15.75" customHeight="1">
      <c r="A129" s="1011">
        <f t="shared" si="4"/>
        <v>104</v>
      </c>
      <c r="B129" s="1040">
        <v>9301</v>
      </c>
      <c r="C129" s="1041" t="s">
        <v>1203</v>
      </c>
      <c r="D129" s="809">
        <v>0</v>
      </c>
      <c r="E129" s="823"/>
      <c r="F129" s="823" t="e">
        <f>SUMIF('[12]Div 9 forecast'!$C$8:$C$421,$B129, '[12]Div 9 forecast'!$AL$8:$AL$421)</f>
        <v>#VALUE!</v>
      </c>
      <c r="G129" s="1163"/>
      <c r="H129" s="823" t="e">
        <f>SUMIF('[12]Div 9 forecast'!$C$8:$C$421,$B129, '[12]Div 9 forecast'!$AM$8:$AM$421)</f>
        <v>#VALUE!</v>
      </c>
      <c r="I129" s="823"/>
      <c r="J129" s="823" t="e">
        <f>SUMIF('[12]Div 9 forecast'!$C$8:$C$421,$B129, '[12]Div 9 forecast'!$AN$8:$AN$421)</f>
        <v>#VALUE!</v>
      </c>
      <c r="K129" s="823"/>
      <c r="L129" s="823">
        <v>0</v>
      </c>
      <c r="M129" s="823"/>
      <c r="N129" s="823">
        <v>0</v>
      </c>
      <c r="O129" s="1163"/>
      <c r="P129" s="823" t="e">
        <f t="shared" si="3"/>
        <v>#VALUE!</v>
      </c>
      <c r="Q129"/>
      <c r="R129"/>
      <c r="S129"/>
      <c r="T129" s="822"/>
    </row>
    <row r="130" spans="1:20" ht="15.75" customHeight="1">
      <c r="A130" s="1011">
        <f t="shared" si="4"/>
        <v>105</v>
      </c>
      <c r="B130" s="1040">
        <v>9302</v>
      </c>
      <c r="C130" s="1041" t="s">
        <v>1204</v>
      </c>
      <c r="D130" s="809">
        <f>'C.2.1 B'!D165</f>
        <v>42277.978065082491</v>
      </c>
      <c r="E130" s="823"/>
      <c r="F130" s="823" t="e">
        <f>SUMIF('[12]Div 9 forecast'!$C$8:$C$421,$B130, '[12]Div 9 forecast'!$AL$8:$AL$421)</f>
        <v>#VALUE!</v>
      </c>
      <c r="G130" s="1163"/>
      <c r="H130" s="823" t="e">
        <f>SUMIF('[12]Div 9 forecast'!$C$8:$C$421,$B130, '[12]Div 9 forecast'!$AM$8:$AM$421)</f>
        <v>#VALUE!</v>
      </c>
      <c r="I130" s="823"/>
      <c r="J130" s="823" t="e">
        <f>SUMIF('[12]Div 9 forecast'!$C$8:$C$421,$B130, '[12]Div 9 forecast'!$AN$8:$AN$421)</f>
        <v>#VALUE!</v>
      </c>
      <c r="K130" s="823"/>
      <c r="L130" s="823">
        <v>0</v>
      </c>
      <c r="M130" s="823"/>
      <c r="N130" s="823">
        <v>0</v>
      </c>
      <c r="O130" s="1163"/>
      <c r="P130" s="823" t="e">
        <f t="shared" si="3"/>
        <v>#VALUE!</v>
      </c>
      <c r="Q130"/>
      <c r="R130"/>
      <c r="S130"/>
      <c r="T130" s="822"/>
    </row>
    <row r="131" spans="1:20" ht="15.75" customHeight="1">
      <c r="A131" s="1011">
        <f t="shared" si="4"/>
        <v>106</v>
      </c>
      <c r="B131" s="1040">
        <v>9310</v>
      </c>
      <c r="C131" s="1041" t="s">
        <v>1343</v>
      </c>
      <c r="D131" s="809">
        <f>'C.2.1 B'!D166</f>
        <v>13647.466015270216</v>
      </c>
      <c r="E131" s="823"/>
      <c r="F131" s="823" t="e">
        <f>SUMIF('[12]Div 9 forecast'!$C$8:$C$421,$B131, '[12]Div 9 forecast'!$AL$8:$AL$421)</f>
        <v>#VALUE!</v>
      </c>
      <c r="G131" s="1163"/>
      <c r="H131" s="823" t="e">
        <f>SUMIF('[12]Div 9 forecast'!$C$8:$C$421,$B131, '[12]Div 9 forecast'!$AM$8:$AM$421)</f>
        <v>#VALUE!</v>
      </c>
      <c r="I131" s="823"/>
      <c r="J131" s="823" t="e">
        <f>SUMIF('[12]Div 9 forecast'!$C$8:$C$421,$B131, '[12]Div 9 forecast'!$AN$8:$AN$421)</f>
        <v>#VALUE!</v>
      </c>
      <c r="K131" s="823"/>
      <c r="L131" s="823">
        <v>0</v>
      </c>
      <c r="M131" s="823"/>
      <c r="N131" s="823"/>
      <c r="O131" s="1163"/>
      <c r="P131" s="823" t="e">
        <f t="shared" si="3"/>
        <v>#VALUE!</v>
      </c>
      <c r="Q131"/>
      <c r="R131"/>
      <c r="S131"/>
      <c r="T131" s="822"/>
    </row>
    <row r="132" spans="1:20" ht="15.75" customHeight="1">
      <c r="A132" s="1011">
        <f t="shared" si="4"/>
        <v>107</v>
      </c>
      <c r="B132" s="1040">
        <v>9320</v>
      </c>
      <c r="C132" s="1041" t="s">
        <v>1205</v>
      </c>
      <c r="D132" s="824">
        <f>'C.2.1 B'!D170</f>
        <v>2010.2359013780328</v>
      </c>
      <c r="E132" s="823"/>
      <c r="F132" s="823" t="e">
        <f>SUMIF('[12]Div 9 forecast'!$C$8:$C$421,$B132, '[12]Div 9 forecast'!$AL$8:$AL$421)</f>
        <v>#VALUE!</v>
      </c>
      <c r="G132" s="823"/>
      <c r="H132" s="823" t="e">
        <f>SUMIF('[12]Div 9 forecast'!$C$8:$C$421,$B132, '[12]Div 9 forecast'!$AM$8:$AM$421)</f>
        <v>#VALUE!</v>
      </c>
      <c r="I132" s="823"/>
      <c r="J132" s="823" t="e">
        <f>SUMIF('[12]Div 9 forecast'!$C$8:$C$421,$B132, '[12]Div 9 forecast'!$AN$8:$AN$421)</f>
        <v>#VALUE!</v>
      </c>
      <c r="K132" s="823"/>
      <c r="L132" s="823">
        <v>0</v>
      </c>
      <c r="M132" s="823"/>
      <c r="N132" s="824">
        <v>0</v>
      </c>
      <c r="O132" s="823"/>
      <c r="P132" s="824" t="e">
        <f t="shared" si="3"/>
        <v>#VALUE!</v>
      </c>
      <c r="Q132"/>
      <c r="R132"/>
      <c r="S132"/>
      <c r="T132" s="822"/>
    </row>
    <row r="133" spans="1:20" ht="15.75" customHeight="1">
      <c r="A133" s="2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/>
      <c r="R133"/>
      <c r="S133"/>
    </row>
    <row r="134" spans="1:20" ht="15.75" customHeight="1">
      <c r="A134" s="2">
        <f>A132+1</f>
        <v>108</v>
      </c>
      <c r="B134" s="4" t="s">
        <v>101</v>
      </c>
      <c r="D134" s="156">
        <f>SUM(D48:D93)+SUM(D99:D132)</f>
        <v>26647347.168500256</v>
      </c>
      <c r="E134" s="130"/>
      <c r="F134" s="156" t="e">
        <f>SUM(F48:F93)+SUM(F99:F132)</f>
        <v>#VALUE!</v>
      </c>
      <c r="G134" s="130"/>
      <c r="H134" s="156" t="e">
        <f>SUM(H48:H93)+SUM(H99:H132)</f>
        <v>#VALUE!</v>
      </c>
      <c r="I134" s="130"/>
      <c r="J134" s="156" t="e">
        <f>SUM(J48:J93)+SUM(J99:J132)</f>
        <v>#VALUE!</v>
      </c>
      <c r="K134" s="130"/>
      <c r="L134" s="156">
        <f>SUM(L48:L93)+SUM(L99:L132)</f>
        <v>-250895.52998466406</v>
      </c>
      <c r="M134" s="130"/>
      <c r="N134" s="156">
        <f>SUM(N48:N93)+SUM(N99:N132)</f>
        <v>955058.20888760872</v>
      </c>
      <c r="O134" s="130"/>
      <c r="P134" s="156" t="e">
        <f>SUM(P48:P93)+SUM(P99:P132)</f>
        <v>#VALUE!</v>
      </c>
      <c r="Q134"/>
      <c r="R134"/>
      <c r="S134"/>
    </row>
    <row r="135" spans="1:20" ht="15.75" customHeight="1">
      <c r="A135" s="2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/>
      <c r="R135"/>
      <c r="S135"/>
    </row>
    <row r="136" spans="1:20" ht="15.75" customHeight="1">
      <c r="A136" s="2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/>
      <c r="R136"/>
      <c r="S136"/>
    </row>
    <row r="137" spans="1:20" ht="15.75" customHeight="1">
      <c r="A137" s="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/>
      <c r="R137"/>
      <c r="S137"/>
    </row>
    <row r="138" spans="1:20" ht="15.75" customHeight="1">
      <c r="A138" s="2">
        <f>A134+1</f>
        <v>109</v>
      </c>
      <c r="B138" s="115" t="s">
        <v>327</v>
      </c>
      <c r="C138" s="107"/>
      <c r="D138" s="136">
        <f>'[12]O&amp;M Comparison'!$C$6+'[12]O&amp;M Comparison'!$C$7</f>
        <v>7022773.9900000002</v>
      </c>
      <c r="E138" s="130"/>
      <c r="F138" s="136" t="e">
        <f>SUM(F122:F132,F99:F119,F48:F93)</f>
        <v>#VALUE!</v>
      </c>
      <c r="G138" s="136"/>
      <c r="H138" s="136"/>
      <c r="I138" s="136"/>
      <c r="J138" s="136"/>
      <c r="K138" s="136"/>
      <c r="L138" s="136"/>
      <c r="M138" s="136"/>
      <c r="N138" s="136"/>
      <c r="O138" s="136"/>
      <c r="P138" s="136" t="e">
        <f>SUM(F138:O138)</f>
        <v>#VALUE!</v>
      </c>
      <c r="Q138"/>
      <c r="R138"/>
      <c r="S138"/>
    </row>
    <row r="139" spans="1:20" ht="15.75" customHeight="1">
      <c r="A139" s="2">
        <f>A138+1</f>
        <v>110</v>
      </c>
      <c r="B139" s="4" t="s">
        <v>328</v>
      </c>
      <c r="D139" s="136">
        <f>'[12]O&amp;M Comparison'!$C$10</f>
        <v>621710.18000000017</v>
      </c>
      <c r="E139" s="130"/>
      <c r="F139" s="136"/>
      <c r="G139" s="136"/>
      <c r="H139" s="136" t="e">
        <f>SUM(H$122:H$132,H$99:H$119,H$48:H$93)</f>
        <v>#VALUE!</v>
      </c>
      <c r="I139" s="136"/>
      <c r="J139" s="136"/>
      <c r="K139" s="136"/>
      <c r="L139" s="136"/>
      <c r="M139" s="136"/>
      <c r="N139" s="136"/>
      <c r="O139" s="136"/>
      <c r="P139" s="136" t="e">
        <f>SUM(F139:O139)</f>
        <v>#VALUE!</v>
      </c>
      <c r="Q139"/>
      <c r="R139"/>
      <c r="S139"/>
    </row>
    <row r="140" spans="1:20" ht="15.75" customHeight="1">
      <c r="A140" s="2">
        <f>A139+1</f>
        <v>111</v>
      </c>
      <c r="B140" s="4" t="s">
        <v>329</v>
      </c>
      <c r="D140" s="136">
        <f>'[12]O&amp;M Comparison'!$C$25-D138-D139-D141</f>
        <v>5368419.6790142525</v>
      </c>
      <c r="E140" s="130"/>
      <c r="F140" s="136"/>
      <c r="G140" s="136"/>
      <c r="H140" s="136"/>
      <c r="I140" s="136"/>
      <c r="J140" s="136" t="e">
        <f>SUM(J$122:J$132,J$99:J$120,J$48:J$93)</f>
        <v>#VALUE!</v>
      </c>
      <c r="K140" s="136"/>
      <c r="L140" s="136"/>
      <c r="M140" s="136"/>
      <c r="N140" s="136"/>
      <c r="O140" s="136"/>
      <c r="P140" s="136" t="e">
        <f>SUM(F140:O140)</f>
        <v>#VALUE!</v>
      </c>
      <c r="Q140"/>
      <c r="R140"/>
      <c r="S140"/>
    </row>
    <row r="141" spans="1:20" ht="15.75" customHeight="1">
      <c r="A141" s="2">
        <f>A140+1</f>
        <v>112</v>
      </c>
      <c r="B141" s="4" t="s">
        <v>330</v>
      </c>
      <c r="D141" s="136">
        <f>'[12]O&amp;M Comparison'!$C$22</f>
        <v>564321.71039999998</v>
      </c>
      <c r="E141" s="130"/>
      <c r="F141" s="136"/>
      <c r="G141" s="136"/>
      <c r="H141" s="136"/>
      <c r="I141" s="136"/>
      <c r="J141" s="136"/>
      <c r="K141" s="136"/>
      <c r="L141" s="136">
        <f>L134</f>
        <v>-250895.52998466406</v>
      </c>
      <c r="M141" s="136"/>
      <c r="N141" s="136"/>
      <c r="O141" s="136"/>
      <c r="P141" s="136">
        <f>SUM(F141:O141)</f>
        <v>-250895.52998466406</v>
      </c>
      <c r="Q141"/>
      <c r="R141"/>
      <c r="S141"/>
    </row>
    <row r="142" spans="1:20" ht="15.75" customHeight="1">
      <c r="A142" s="2">
        <f>A141+1</f>
        <v>113</v>
      </c>
      <c r="B142" s="4" t="s">
        <v>817</v>
      </c>
      <c r="D142" s="138">
        <f>D121</f>
        <v>13070219.117788246</v>
      </c>
      <c r="E142" s="130"/>
      <c r="F142" s="138" t="e">
        <f>F144-F138</f>
        <v>#VALUE!</v>
      </c>
      <c r="G142" s="136"/>
      <c r="H142" s="138" t="e">
        <f>H144-H139</f>
        <v>#VALUE!</v>
      </c>
      <c r="I142" s="136"/>
      <c r="J142" s="138" t="e">
        <f>J144-J140</f>
        <v>#VALUE!</v>
      </c>
      <c r="K142" s="136"/>
      <c r="L142" s="138"/>
      <c r="M142" s="136"/>
      <c r="N142" s="138">
        <f>N121</f>
        <v>955058.20888760872</v>
      </c>
      <c r="O142" s="136"/>
      <c r="P142" s="576" t="e">
        <f>SUM(F142:O142)</f>
        <v>#VALUE!</v>
      </c>
      <c r="Q142"/>
      <c r="R142"/>
      <c r="S142"/>
    </row>
    <row r="143" spans="1:20" ht="15.75" customHeight="1">
      <c r="A143" s="2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/>
      <c r="R143"/>
      <c r="S143"/>
    </row>
    <row r="144" spans="1:20" ht="15.75" customHeight="1">
      <c r="A144" s="2">
        <f>A142+1</f>
        <v>114</v>
      </c>
      <c r="B144" s="4" t="s">
        <v>101</v>
      </c>
      <c r="D144" s="156">
        <f>SUM(D138:D142)</f>
        <v>26647444.6772025</v>
      </c>
      <c r="E144" s="130"/>
      <c r="F144" s="156">
        <f>D.2.2!D15</f>
        <v>19843.501413553953</v>
      </c>
      <c r="G144" s="136"/>
      <c r="H144" s="156">
        <f>D.2.2!$D$21</f>
        <v>-56858.940000000293</v>
      </c>
      <c r="I144" s="136"/>
      <c r="J144" s="156">
        <f>D.2.2!$D$28</f>
        <v>-463306.08900675364</v>
      </c>
      <c r="K144" s="136"/>
      <c r="L144" s="156">
        <f>D.2.2!$D$34</f>
        <v>-250895.52998466406</v>
      </c>
      <c r="M144" s="136"/>
      <c r="N144" s="156">
        <f>D.2.2!$D$39</f>
        <v>955058.22627200559</v>
      </c>
      <c r="O144" s="136"/>
      <c r="P144" s="156" t="e">
        <f>SUM(P138:P142)</f>
        <v>#VALUE!</v>
      </c>
      <c r="Q144"/>
      <c r="R144"/>
      <c r="S144"/>
    </row>
    <row r="145" spans="1:21" ht="15.75" customHeight="1">
      <c r="A145" s="2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/>
      <c r="R145"/>
      <c r="S145"/>
    </row>
    <row r="146" spans="1:21" ht="15.75" customHeight="1">
      <c r="A146" s="2">
        <f>A144+1</f>
        <v>115</v>
      </c>
      <c r="B146" s="4" t="s">
        <v>229</v>
      </c>
      <c r="D146" s="756">
        <f>D40</f>
        <v>0.38900000000000001</v>
      </c>
      <c r="E146" s="130"/>
      <c r="F146" s="156">
        <f>F144*$D$146*-1</f>
        <v>-7719.1220498724879</v>
      </c>
      <c r="G146" s="130"/>
      <c r="H146" s="156">
        <f>H144*$D$146*-1</f>
        <v>22118.127660000115</v>
      </c>
      <c r="I146" s="136"/>
      <c r="J146" s="156">
        <f>J144*$D$146*-1</f>
        <v>180226.06862362716</v>
      </c>
      <c r="K146" s="136"/>
      <c r="L146" s="156">
        <f>L144*$D$146*-1</f>
        <v>97598.361164034315</v>
      </c>
      <c r="M146" s="136"/>
      <c r="N146" s="156">
        <f>N144*$D$146*-1</f>
        <v>-371517.65001981019</v>
      </c>
      <c r="O146" s="136"/>
      <c r="P146" s="156" t="e">
        <f>P144*$D$146*-1</f>
        <v>#VALUE!</v>
      </c>
      <c r="Q146"/>
      <c r="R146"/>
      <c r="S146"/>
    </row>
    <row r="147" spans="1:21" ht="15.75" customHeight="1">
      <c r="A147" s="2"/>
      <c r="D147" s="130"/>
      <c r="E147" s="130"/>
      <c r="F147" s="130"/>
      <c r="G147" s="130"/>
      <c r="H147" s="136"/>
      <c r="I147" s="136"/>
      <c r="J147" s="136"/>
      <c r="K147" s="136"/>
      <c r="L147" s="136"/>
      <c r="M147" s="136"/>
      <c r="N147" s="136"/>
      <c r="O147" s="136"/>
      <c r="P147" s="136"/>
      <c r="Q147"/>
      <c r="R147"/>
      <c r="S147"/>
    </row>
    <row r="148" spans="1:21" ht="15.75" customHeight="1">
      <c r="A148" s="2">
        <f>A146+1</f>
        <v>116</v>
      </c>
      <c r="B148" s="4" t="s">
        <v>857</v>
      </c>
      <c r="D148" s="130"/>
      <c r="E148" s="130"/>
      <c r="F148" s="156">
        <f>F144+F146</f>
        <v>12124.379363681466</v>
      </c>
      <c r="G148" s="130"/>
      <c r="H148" s="156">
        <f>H144+H146</f>
        <v>-34740.812340000179</v>
      </c>
      <c r="I148" s="130"/>
      <c r="J148" s="156">
        <f>J144+J146</f>
        <v>-283080.02038312645</v>
      </c>
      <c r="K148" s="130"/>
      <c r="L148" s="156">
        <f>L144+L146</f>
        <v>-153297.16882062974</v>
      </c>
      <c r="M148" s="130"/>
      <c r="N148" s="156">
        <f>N144+N146</f>
        <v>583540.5762521954</v>
      </c>
      <c r="O148" s="130"/>
      <c r="P148" s="156" t="e">
        <f>P144+P146</f>
        <v>#VALUE!</v>
      </c>
      <c r="Q148"/>
      <c r="R148"/>
      <c r="S148"/>
    </row>
    <row r="149" spans="1:21" ht="15.75" customHeight="1">
      <c r="A149" s="127"/>
      <c r="B149" s="117"/>
      <c r="C149" s="119"/>
      <c r="D149" s="130"/>
      <c r="E149" s="130"/>
      <c r="F149" s="156"/>
      <c r="G149" s="130"/>
      <c r="H149" s="156"/>
      <c r="I149" s="130"/>
      <c r="J149" s="156"/>
      <c r="K149" s="130"/>
      <c r="L149" s="156"/>
      <c r="M149" s="130"/>
      <c r="N149" s="156"/>
      <c r="O149" s="130"/>
      <c r="P149" s="156"/>
      <c r="Q149"/>
      <c r="R149"/>
      <c r="S149"/>
    </row>
    <row r="150" spans="1:21" ht="15.75" customHeight="1">
      <c r="A150" s="119"/>
      <c r="B150" s="119"/>
      <c r="C150" s="119"/>
      <c r="D150" s="130"/>
      <c r="E150" s="130"/>
      <c r="F150" s="130"/>
      <c r="G150" s="130"/>
      <c r="H150" s="165" t="s">
        <v>223</v>
      </c>
      <c r="I150" s="130"/>
      <c r="J150" s="130"/>
      <c r="K150" s="130"/>
      <c r="L150" s="130"/>
      <c r="M150" s="130"/>
      <c r="N150" s="130"/>
      <c r="O150" s="130"/>
      <c r="P150" s="130"/>
      <c r="Q150"/>
      <c r="R150"/>
      <c r="S150"/>
    </row>
    <row r="151" spans="1:21" ht="15.75" customHeight="1">
      <c r="A151" s="127" t="s">
        <v>98</v>
      </c>
      <c r="B151" s="182" t="s">
        <v>1348</v>
      </c>
      <c r="C151" s="119"/>
      <c r="D151" s="165" t="s">
        <v>45</v>
      </c>
      <c r="E151" s="130"/>
      <c r="F151" s="1158" t="s">
        <v>1111</v>
      </c>
      <c r="G151" s="1159"/>
      <c r="H151" s="1158" t="s">
        <v>1111</v>
      </c>
      <c r="I151" s="1160"/>
      <c r="J151" s="164" t="s">
        <v>485</v>
      </c>
      <c r="K151" s="162"/>
      <c r="L151" s="1158" t="s">
        <v>1109</v>
      </c>
      <c r="M151" s="1160"/>
      <c r="N151" s="1158" t="s">
        <v>1109</v>
      </c>
      <c r="O151" s="1159"/>
      <c r="P151" s="165" t="s">
        <v>101</v>
      </c>
      <c r="Q151"/>
      <c r="R151"/>
      <c r="S151"/>
    </row>
    <row r="152" spans="1:21" ht="15.75" customHeight="1">
      <c r="A152" s="128" t="s">
        <v>104</v>
      </c>
      <c r="B152" s="183" t="s">
        <v>224</v>
      </c>
      <c r="C152" s="124"/>
      <c r="D152" s="862" t="s">
        <v>553</v>
      </c>
      <c r="E152" s="1161"/>
      <c r="F152" s="862" t="s">
        <v>622</v>
      </c>
      <c r="G152" s="1162" t="s">
        <v>332</v>
      </c>
      <c r="H152" s="862" t="s">
        <v>479</v>
      </c>
      <c r="I152" s="1162"/>
      <c r="J152" s="128" t="s">
        <v>480</v>
      </c>
      <c r="K152" s="118" t="s">
        <v>332</v>
      </c>
      <c r="L152" s="862" t="s">
        <v>481</v>
      </c>
      <c r="M152" s="1162" t="s">
        <v>332</v>
      </c>
      <c r="N152" s="862" t="s">
        <v>482</v>
      </c>
      <c r="O152" s="1161"/>
      <c r="P152" s="862" t="s">
        <v>486</v>
      </c>
      <c r="Q152"/>
      <c r="R152"/>
      <c r="S152"/>
      <c r="U152" s="156"/>
    </row>
    <row r="153" spans="1:21" ht="15.75" customHeight="1">
      <c r="A153" s="119"/>
      <c r="B153" s="184"/>
      <c r="C153" s="119"/>
      <c r="D153" s="170"/>
      <c r="E153" s="130"/>
      <c r="F153" s="130"/>
      <c r="G153" s="170"/>
      <c r="H153" s="130"/>
      <c r="I153" s="185"/>
      <c r="J153" s="130"/>
      <c r="K153" s="1164"/>
      <c r="L153" s="130"/>
      <c r="M153" s="185"/>
      <c r="N153" s="130"/>
      <c r="O153" s="170"/>
      <c r="P153" s="130"/>
      <c r="Q153"/>
      <c r="R153"/>
      <c r="S153"/>
    </row>
    <row r="154" spans="1:21" ht="15.75" customHeight="1">
      <c r="A154" s="119"/>
      <c r="B154" s="184"/>
      <c r="C154" s="119"/>
      <c r="D154" s="170"/>
      <c r="E154" s="130"/>
      <c r="F154" s="130"/>
      <c r="G154" s="170"/>
      <c r="H154" s="130"/>
      <c r="I154" s="185"/>
      <c r="J154" s="130"/>
      <c r="K154" s="1164"/>
      <c r="L154" s="130"/>
      <c r="M154" s="185"/>
      <c r="N154" s="130"/>
      <c r="O154" s="170"/>
      <c r="P154" s="130"/>
      <c r="Q154"/>
      <c r="R154"/>
      <c r="S154"/>
    </row>
    <row r="155" spans="1:21" ht="15.75" customHeight="1">
      <c r="A155" s="127">
        <f>A148+1</f>
        <v>117</v>
      </c>
      <c r="B155" s="117" t="s">
        <v>23</v>
      </c>
      <c r="C155" s="119"/>
      <c r="D155" s="823">
        <f>'C.2.1 B'!D175</f>
        <v>18252729.938099388</v>
      </c>
      <c r="E155" s="130"/>
      <c r="F155" s="136">
        <f>D.2.3!D15</f>
        <v>1191735.9883076735</v>
      </c>
      <c r="G155" s="185"/>
      <c r="H155" s="136"/>
      <c r="I155" s="136"/>
      <c r="J155" s="136"/>
      <c r="K155" s="1164"/>
      <c r="L155" s="130"/>
      <c r="M155" s="136"/>
      <c r="N155" s="130"/>
      <c r="O155" s="170"/>
      <c r="P155" s="136">
        <f>SUM(F155:O155)</f>
        <v>1191735.9883076735</v>
      </c>
      <c r="Q155"/>
      <c r="R155"/>
      <c r="S155"/>
    </row>
    <row r="156" spans="1:21" ht="15.75" customHeight="1">
      <c r="A156" s="925">
        <f>A155+1</f>
        <v>118</v>
      </c>
      <c r="B156" s="182" t="s">
        <v>524</v>
      </c>
      <c r="C156" s="119"/>
      <c r="D156" s="136">
        <v>0</v>
      </c>
      <c r="E156" s="130"/>
      <c r="F156" s="136"/>
      <c r="G156" s="136"/>
      <c r="H156" s="136"/>
      <c r="I156" s="185"/>
      <c r="J156" s="130"/>
      <c r="K156" s="1165"/>
      <c r="L156" s="130"/>
      <c r="M156" s="185"/>
      <c r="N156" s="130"/>
      <c r="O156" s="170"/>
      <c r="P156" s="136">
        <f>SUM(F156:O156)</f>
        <v>0</v>
      </c>
      <c r="Q156"/>
      <c r="R156"/>
      <c r="S156"/>
    </row>
    <row r="157" spans="1:21" ht="15.75" customHeight="1">
      <c r="A157" s="925">
        <f t="shared" ref="A157:A172" si="5">A156+1</f>
        <v>119</v>
      </c>
      <c r="B157" s="117" t="s">
        <v>171</v>
      </c>
      <c r="C157" s="119"/>
      <c r="D157" s="858">
        <f>'C.2.2 B 09'!P15</f>
        <v>48446.399999999994</v>
      </c>
      <c r="E157" s="130"/>
      <c r="F157" s="138"/>
      <c r="G157" s="185"/>
      <c r="H157" s="138"/>
      <c r="I157" s="185"/>
      <c r="J157" s="1161"/>
      <c r="K157" s="1165"/>
      <c r="L157" s="1161"/>
      <c r="M157" s="185"/>
      <c r="N157" s="1161"/>
      <c r="O157" s="170"/>
      <c r="P157" s="138">
        <f>SUM(F157:O157)</f>
        <v>0</v>
      </c>
      <c r="Q157"/>
      <c r="R157"/>
      <c r="S157"/>
    </row>
    <row r="158" spans="1:21" ht="15.75" customHeight="1">
      <c r="A158" s="925">
        <f t="shared" si="5"/>
        <v>120</v>
      </c>
      <c r="B158" s="119"/>
      <c r="C158" s="119"/>
      <c r="D158" s="185"/>
      <c r="E158" s="130"/>
      <c r="F158" s="136"/>
      <c r="G158" s="185"/>
      <c r="H158" s="136"/>
      <c r="I158" s="185"/>
      <c r="J158" s="170"/>
      <c r="K158" s="1164"/>
      <c r="L158" s="130"/>
      <c r="M158" s="185"/>
      <c r="N158" s="130"/>
      <c r="O158" s="170"/>
      <c r="P158" s="136"/>
      <c r="Q158"/>
      <c r="R158"/>
      <c r="S158"/>
    </row>
    <row r="159" spans="1:21" ht="15.75" customHeight="1">
      <c r="A159" s="925">
        <f t="shared" si="5"/>
        <v>121</v>
      </c>
      <c r="B159" s="117" t="s">
        <v>502</v>
      </c>
      <c r="C159" s="119"/>
      <c r="D159" s="825">
        <f>SUM(D155:D157)</f>
        <v>18301176.338099387</v>
      </c>
      <c r="E159" s="130"/>
      <c r="F159" s="825">
        <f>SUM(F155:F157)</f>
        <v>1191735.9883076735</v>
      </c>
      <c r="G159" s="185"/>
      <c r="H159" s="825"/>
      <c r="I159" s="130"/>
      <c r="J159" s="825"/>
      <c r="K159" s="1164"/>
      <c r="L159" s="825"/>
      <c r="M159" s="130"/>
      <c r="N159" s="825"/>
      <c r="O159" s="185"/>
      <c r="P159" s="156">
        <f>SUM(F159:O159)</f>
        <v>1191735.9883076735</v>
      </c>
      <c r="Q159"/>
      <c r="R159"/>
      <c r="S159"/>
    </row>
    <row r="160" spans="1:21" ht="15.75" customHeight="1">
      <c r="A160" s="925">
        <f t="shared" si="5"/>
        <v>122</v>
      </c>
      <c r="B160" s="119"/>
      <c r="C160" s="119"/>
      <c r="D160" s="185"/>
      <c r="E160" s="130"/>
      <c r="F160" s="136"/>
      <c r="G160" s="185"/>
      <c r="H160" s="136"/>
      <c r="I160" s="185"/>
      <c r="J160" s="130"/>
      <c r="K160" s="1164"/>
      <c r="L160" s="130"/>
      <c r="M160" s="185"/>
      <c r="N160" s="130"/>
      <c r="O160" s="170"/>
      <c r="P160" s="130"/>
      <c r="Q160"/>
      <c r="R160"/>
      <c r="S160"/>
    </row>
    <row r="161" spans="1:19" ht="15.75" customHeight="1">
      <c r="A161" s="925">
        <f t="shared" si="5"/>
        <v>123</v>
      </c>
      <c r="B161" s="182" t="s">
        <v>229</v>
      </c>
      <c r="C161" s="119"/>
      <c r="D161" s="756">
        <f>D40</f>
        <v>0.38900000000000001</v>
      </c>
      <c r="E161" s="130"/>
      <c r="F161" s="156">
        <f>F159*$D$161</f>
        <v>463585.29945168499</v>
      </c>
      <c r="G161" s="185"/>
      <c r="H161" s="156"/>
      <c r="I161" s="185"/>
      <c r="J161" s="156"/>
      <c r="K161" s="185"/>
      <c r="L161" s="156"/>
      <c r="M161" s="136"/>
      <c r="N161" s="156"/>
      <c r="O161" s="185"/>
      <c r="P161" s="156">
        <f>P159*$D$161</f>
        <v>463585.29945168499</v>
      </c>
      <c r="Q161"/>
      <c r="R161"/>
      <c r="S161"/>
    </row>
    <row r="162" spans="1:19" ht="15.75" customHeight="1">
      <c r="A162" s="925">
        <f t="shared" si="5"/>
        <v>124</v>
      </c>
      <c r="B162" s="184"/>
      <c r="C162" s="119"/>
      <c r="D162" s="1166"/>
      <c r="E162" s="130"/>
      <c r="F162" s="136"/>
      <c r="G162" s="185"/>
      <c r="H162" s="136"/>
      <c r="I162" s="185"/>
      <c r="J162" s="130"/>
      <c r="K162" s="1164"/>
      <c r="L162" s="130"/>
      <c r="M162" s="185"/>
      <c r="N162" s="130"/>
      <c r="O162" s="170"/>
      <c r="P162" s="130"/>
      <c r="Q162"/>
      <c r="R162"/>
      <c r="S162"/>
    </row>
    <row r="163" spans="1:19" ht="15.75" customHeight="1">
      <c r="A163" s="925">
        <f t="shared" si="5"/>
        <v>125</v>
      </c>
      <c r="B163" s="182" t="s">
        <v>857</v>
      </c>
      <c r="C163" s="119"/>
      <c r="D163" s="185"/>
      <c r="E163" s="130"/>
      <c r="F163" s="156">
        <f>F159-F161</f>
        <v>728150.68885598844</v>
      </c>
      <c r="G163" s="185"/>
      <c r="H163" s="156"/>
      <c r="I163" s="185"/>
      <c r="J163" s="156"/>
      <c r="K163" s="185"/>
      <c r="L163" s="156"/>
      <c r="M163" s="185"/>
      <c r="N163" s="156"/>
      <c r="O163" s="185"/>
      <c r="P163" s="156">
        <f>P159-P161</f>
        <v>728150.68885598844</v>
      </c>
      <c r="Q163"/>
      <c r="R163"/>
      <c r="S163"/>
    </row>
    <row r="164" spans="1:19" ht="15.75" customHeight="1">
      <c r="A164" s="925">
        <f t="shared" si="5"/>
        <v>126</v>
      </c>
      <c r="B164" s="184"/>
      <c r="C164" s="119"/>
      <c r="D164" s="185"/>
      <c r="E164" s="130"/>
      <c r="F164" s="136"/>
      <c r="G164" s="185"/>
      <c r="H164" s="136"/>
      <c r="I164" s="185"/>
      <c r="J164" s="130"/>
      <c r="K164" s="1164"/>
      <c r="L164" s="130"/>
      <c r="M164" s="185"/>
      <c r="N164" s="130"/>
      <c r="O164" s="170"/>
      <c r="P164" s="130"/>
      <c r="Q164"/>
      <c r="R164"/>
      <c r="S164"/>
    </row>
    <row r="165" spans="1:19" ht="15.75" customHeight="1">
      <c r="A165" s="925">
        <f t="shared" si="5"/>
        <v>127</v>
      </c>
      <c r="B165" s="119"/>
      <c r="C165" s="119"/>
      <c r="D165" s="130"/>
      <c r="E165" s="130"/>
      <c r="F165" s="136"/>
      <c r="G165" s="185"/>
      <c r="H165" s="136"/>
      <c r="I165" s="136"/>
      <c r="J165" s="130"/>
      <c r="K165" s="1164"/>
      <c r="L165" s="130"/>
      <c r="M165" s="136"/>
      <c r="N165" s="170"/>
      <c r="O165" s="170"/>
      <c r="P165" s="130"/>
      <c r="Q165"/>
      <c r="R165"/>
      <c r="S165"/>
    </row>
    <row r="166" spans="1:19" ht="15.75" customHeight="1">
      <c r="A166" s="925">
        <f t="shared" si="5"/>
        <v>128</v>
      </c>
      <c r="B166" s="184"/>
      <c r="C166" s="119"/>
      <c r="D166" s="136"/>
      <c r="E166" s="130"/>
      <c r="F166" s="136"/>
      <c r="G166" s="136"/>
      <c r="H166" s="185"/>
      <c r="I166" s="130"/>
      <c r="J166" s="130"/>
      <c r="K166" s="130"/>
      <c r="L166" s="130"/>
      <c r="M166" s="130"/>
      <c r="N166" s="130"/>
      <c r="O166" s="130"/>
      <c r="P166" s="130"/>
      <c r="Q166"/>
      <c r="R166"/>
      <c r="S166"/>
    </row>
    <row r="167" spans="1:19" ht="15.75" customHeight="1">
      <c r="A167" s="925">
        <f t="shared" si="5"/>
        <v>129</v>
      </c>
      <c r="B167" s="119"/>
      <c r="C167" s="119"/>
      <c r="D167" s="136"/>
      <c r="E167" s="130"/>
      <c r="F167" s="136"/>
      <c r="G167" s="136"/>
      <c r="H167" s="185"/>
      <c r="I167" s="130"/>
      <c r="J167" s="130"/>
      <c r="K167" s="130"/>
      <c r="L167" s="130"/>
      <c r="M167" s="130"/>
      <c r="N167" s="130"/>
      <c r="O167" s="130"/>
      <c r="P167" s="130"/>
      <c r="Q167"/>
      <c r="R167"/>
      <c r="S167"/>
    </row>
    <row r="168" spans="1:19" ht="15.75" customHeight="1">
      <c r="A168" s="925">
        <f t="shared" si="5"/>
        <v>130</v>
      </c>
      <c r="B168" s="182" t="s">
        <v>585</v>
      </c>
      <c r="C168" s="119"/>
      <c r="D168" s="825">
        <f>'C.2.2 B 09'!P16</f>
        <v>6437544.724313166</v>
      </c>
      <c r="E168" s="130"/>
      <c r="F168" s="156"/>
      <c r="G168" s="136"/>
      <c r="H168" s="825">
        <f>D.2.3!D20</f>
        <v>-337324.5716198897</v>
      </c>
      <c r="I168" s="130"/>
      <c r="J168" s="592"/>
      <c r="K168" s="130"/>
      <c r="L168" s="592"/>
      <c r="M168" s="130"/>
      <c r="N168" s="592"/>
      <c r="O168" s="130"/>
      <c r="P168" s="156">
        <f>SUM(F168:O168)</f>
        <v>-337324.5716198897</v>
      </c>
      <c r="Q168"/>
      <c r="R168"/>
      <c r="S168"/>
    </row>
    <row r="169" spans="1:19" ht="15.75" customHeight="1">
      <c r="A169" s="925">
        <f t="shared" si="5"/>
        <v>131</v>
      </c>
      <c r="B169" s="119"/>
      <c r="C169" s="119"/>
      <c r="D169" s="136"/>
      <c r="E169" s="130"/>
      <c r="F169" s="136"/>
      <c r="G169" s="136"/>
      <c r="H169" s="185"/>
      <c r="I169" s="130"/>
      <c r="J169" s="130"/>
      <c r="K169" s="130"/>
      <c r="L169" s="130"/>
      <c r="M169" s="130"/>
      <c r="N169" s="130"/>
      <c r="O169" s="130"/>
      <c r="P169" s="130"/>
      <c r="Q169"/>
      <c r="R169"/>
      <c r="S169"/>
    </row>
    <row r="170" spans="1:19" ht="15.75" customHeight="1">
      <c r="A170" s="925">
        <f t="shared" si="5"/>
        <v>132</v>
      </c>
      <c r="B170" s="182" t="s">
        <v>229</v>
      </c>
      <c r="C170" s="119"/>
      <c r="D170" s="756">
        <f>D40</f>
        <v>0.38900000000000001</v>
      </c>
      <c r="E170" s="130"/>
      <c r="F170" s="156"/>
      <c r="G170" s="136"/>
      <c r="H170" s="156">
        <f>H168*$D$170</f>
        <v>-131219.25836013709</v>
      </c>
      <c r="I170" s="130"/>
      <c r="J170" s="156"/>
      <c r="K170" s="136"/>
      <c r="L170" s="156"/>
      <c r="M170" s="130"/>
      <c r="N170" s="156"/>
      <c r="O170" s="136"/>
      <c r="P170" s="156">
        <f>P168*$D$170</f>
        <v>-131219.25836013709</v>
      </c>
      <c r="Q170"/>
      <c r="R170"/>
      <c r="S170"/>
    </row>
    <row r="171" spans="1:19" ht="15.75" customHeight="1">
      <c r="A171" s="925">
        <f t="shared" si="5"/>
        <v>133</v>
      </c>
      <c r="B171" s="184"/>
      <c r="C171" s="119"/>
      <c r="D171" s="1166"/>
      <c r="E171" s="130"/>
      <c r="F171" s="136"/>
      <c r="G171" s="136"/>
      <c r="H171" s="136"/>
      <c r="I171" s="130"/>
      <c r="J171" s="136"/>
      <c r="K171" s="136"/>
      <c r="L171" s="136"/>
      <c r="M171" s="130"/>
      <c r="N171" s="136"/>
      <c r="O171" s="136"/>
      <c r="P171" s="136"/>
      <c r="Q171"/>
      <c r="R171"/>
      <c r="S171"/>
    </row>
    <row r="172" spans="1:19" ht="15.75" customHeight="1">
      <c r="A172" s="925">
        <f t="shared" si="5"/>
        <v>134</v>
      </c>
      <c r="B172" s="182" t="s">
        <v>857</v>
      </c>
      <c r="C172" s="119"/>
      <c r="D172" s="189"/>
      <c r="E172" s="119"/>
      <c r="F172" s="19"/>
      <c r="G172" s="189"/>
      <c r="H172" s="19">
        <f>H168-H170</f>
        <v>-206105.31325975261</v>
      </c>
      <c r="I172" s="184"/>
      <c r="J172" s="19"/>
      <c r="K172" s="189"/>
      <c r="L172" s="19"/>
      <c r="M172" s="184"/>
      <c r="N172" s="19"/>
      <c r="O172" s="189"/>
      <c r="P172" s="19">
        <f>P168-P170</f>
        <v>-206105.31325975261</v>
      </c>
      <c r="Q172"/>
      <c r="R172"/>
      <c r="S172"/>
    </row>
    <row r="173" spans="1:19" ht="15.75" customHeight="1">
      <c r="A173" s="127"/>
      <c r="B173" s="184"/>
      <c r="C173" s="119"/>
      <c r="D173" s="134"/>
      <c r="E173" s="119"/>
      <c r="F173" s="134"/>
      <c r="G173" s="189"/>
      <c r="H173" s="134"/>
      <c r="I173" s="184"/>
      <c r="J173" s="119"/>
      <c r="K173" s="184"/>
      <c r="L173" s="119"/>
      <c r="M173" s="184"/>
      <c r="N173" s="119"/>
      <c r="O173" s="184"/>
      <c r="P173" s="119"/>
      <c r="Q173"/>
      <c r="R173"/>
      <c r="S173"/>
    </row>
    <row r="174" spans="1:19" ht="15.75" customHeight="1">
      <c r="A174" s="127"/>
      <c r="B174" s="119"/>
      <c r="C174" s="119"/>
      <c r="D174" s="189"/>
      <c r="E174" s="119"/>
      <c r="F174" s="134"/>
      <c r="G174" s="134"/>
      <c r="H174" s="134"/>
      <c r="I174" s="184"/>
      <c r="J174" s="119"/>
      <c r="K174" s="184"/>
      <c r="L174" s="119"/>
      <c r="M174" s="184"/>
      <c r="N174" s="119"/>
      <c r="O174" s="184"/>
      <c r="P174" s="119"/>
      <c r="Q174"/>
      <c r="R174"/>
      <c r="S174"/>
    </row>
    <row r="175" spans="1:19" ht="15.75" customHeight="1">
      <c r="A175" s="2"/>
      <c r="D175" s="134"/>
      <c r="E175" s="119"/>
      <c r="F175" s="134"/>
      <c r="G175" s="189"/>
      <c r="H175" s="134"/>
      <c r="I175" s="184"/>
      <c r="J175" s="119"/>
      <c r="K175" s="184"/>
      <c r="L175" s="119"/>
      <c r="M175" s="184"/>
      <c r="N175" s="119"/>
      <c r="O175" s="119"/>
      <c r="P175" s="119"/>
      <c r="Q175"/>
      <c r="R175"/>
      <c r="S175"/>
    </row>
    <row r="176" spans="1:19" ht="15.75" customHeight="1">
      <c r="A176" s="2"/>
      <c r="D176" s="189"/>
      <c r="E176" s="119"/>
      <c r="F176" s="134"/>
      <c r="G176" s="189"/>
      <c r="H176" s="134"/>
      <c r="I176" s="119"/>
      <c r="J176" s="119"/>
      <c r="K176" s="119"/>
      <c r="L176" s="119"/>
      <c r="M176" s="119"/>
      <c r="N176" s="119"/>
      <c r="O176" s="119"/>
      <c r="P176" s="119"/>
      <c r="Q176"/>
      <c r="R176"/>
      <c r="S176"/>
    </row>
    <row r="177" spans="1:19" ht="15.75" customHeight="1">
      <c r="A177" s="2"/>
      <c r="B177" s="1" t="s">
        <v>1304</v>
      </c>
      <c r="D177" s="21"/>
      <c r="G177" s="29"/>
      <c r="I177" s="21"/>
      <c r="K177" s="37"/>
      <c r="M177" s="21"/>
      <c r="O177" s="29"/>
      <c r="Q177"/>
      <c r="R177"/>
      <c r="S177"/>
    </row>
    <row r="178" spans="1:19" ht="15.75" customHeight="1">
      <c r="A178"/>
      <c r="B178"/>
      <c r="C178" t="s">
        <v>1594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5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5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5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5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5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5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5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1:19" ht="15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1:19" ht="15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1:19" ht="15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1:19" ht="15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1:19" ht="15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1:19" ht="15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1:19" ht="15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1:19" ht="15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1:19" ht="15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1:19" ht="15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1:19" ht="15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1:19" ht="15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1:19" ht="15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1:19" ht="15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1:19" ht="15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1:19" ht="15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1:19" ht="15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1:19" ht="15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1:19" ht="15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1:19" ht="15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1:19" ht="15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1:19" ht="15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1:19" ht="15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1:19" ht="15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1:19" ht="15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1:19" ht="15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1:19" ht="15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1:19" ht="15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1:19" ht="15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1:19" ht="15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1:19" ht="15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1:19" ht="15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1:19" ht="15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1:19" ht="15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1:19" ht="15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1:19" ht="15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1:19" ht="15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1:19" ht="15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1:19" ht="15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1:19" ht="15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1:19" ht="15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1:19" ht="15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1:19" ht="15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1:19" ht="15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1:19" ht="15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1:19" ht="15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1:19" ht="15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1:19" ht="15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1:19" ht="15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1:19" ht="15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1:19" ht="15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1:19" ht="15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1:19" ht="15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ht="15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ht="15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ht="15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ht="15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ht="15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ht="15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ht="15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ht="15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5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5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5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5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5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1:19" ht="15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1:19" ht="15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1:19" ht="15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1:19" ht="15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ht="15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ht="15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ht="15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ht="15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ht="15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ht="15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ht="15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ht="15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ht="15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ht="15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ht="15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ht="15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ht="15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ht="15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ht="15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ht="15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ht="15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ht="15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ht="15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ht="15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ht="15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5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1:19" ht="15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1:19" ht="15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1:19" ht="15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1:19" ht="15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1:19" ht="15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1:19" ht="15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1:19" ht="15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1:19" ht="15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ht="15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ht="15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ht="15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ht="15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ht="15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ht="15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ht="15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ht="15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ht="15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ht="15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ht="15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ht="15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5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5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5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5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5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5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5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5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5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5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5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5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5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5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5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5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ht="15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ht="15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ht="15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ht="15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ht="15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ht="15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ht="15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ht="15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ht="15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ht="15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ht="15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ht="15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ht="15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ht="15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ht="15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ht="15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ht="15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ht="15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ht="15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ht="15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ht="15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ht="15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ht="15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ht="15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ht="15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ht="15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ht="15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ht="15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ht="15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ht="15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ht="15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ht="15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ht="15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ht="15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ht="15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ht="15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ht="15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ht="15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ht="15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ht="15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ht="15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ht="15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ht="15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ht="15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ht="15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ht="15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ht="15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ht="15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ht="15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ht="15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ht="15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ht="15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ht="15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ht="15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ht="15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ht="15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ht="15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ht="15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ht="15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ht="15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ht="15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ht="15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ht="15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ht="15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ht="15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ht="15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ht="15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ht="15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ht="15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ht="15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ht="15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ht="15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ht="15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ht="15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ht="15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ht="15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ht="15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ht="15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ht="15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ht="15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ht="15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ht="15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ht="15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ht="15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ht="15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ht="15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ht="15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ht="15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ht="15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ht="15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ht="15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ht="15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ht="15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ht="15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ht="15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ht="15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ht="15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ht="15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ht="15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ht="15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ht="15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ht="15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ht="15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ht="15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ht="15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</sheetData>
  <phoneticPr fontId="24" type="noConversion"/>
  <printOptions horizontalCentered="1"/>
  <pageMargins left="0.64" right="0.5" top="1" bottom="0.5" header="0.5" footer="0.5"/>
  <pageSetup scale="5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1"/>
  <sheetViews>
    <sheetView view="pageBreakPreview" zoomScale="60" zoomScaleNormal="90" workbookViewId="0">
      <pane ySplit="11" topLeftCell="A12" activePane="bottomLeft" state="frozen"/>
      <selection activeCell="B42" sqref="B42"/>
      <selection pane="bottomLeft" activeCell="B42" sqref="B42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56" t="str">
        <f>'Table of Contents'!A1:C1</f>
        <v>Atmos Energy Corporation, Kentucky/Mid-States Division</v>
      </c>
      <c r="B1" s="1256"/>
      <c r="C1" s="1256"/>
      <c r="D1" s="1256"/>
      <c r="E1" s="40"/>
      <c r="F1"/>
    </row>
    <row r="2" spans="1:6" ht="15.75" customHeight="1">
      <c r="A2" s="1256" t="str">
        <f>'Table of Contents'!A2:C2</f>
        <v>Kentucky Jurisdiction Case No. 2015-00343</v>
      </c>
      <c r="B2" s="1256"/>
      <c r="C2" s="1256"/>
      <c r="D2" s="1256"/>
      <c r="E2" s="40"/>
      <c r="F2"/>
    </row>
    <row r="3" spans="1:6" ht="15.75" customHeight="1">
      <c r="A3" s="1256" t="s">
        <v>444</v>
      </c>
      <c r="B3" s="1256"/>
      <c r="C3" s="1256"/>
      <c r="D3" s="1256"/>
      <c r="E3" s="40"/>
      <c r="F3"/>
    </row>
    <row r="4" spans="1:6" ht="15.75" customHeight="1">
      <c r="A4" s="1256" t="str">
        <f>Allocation!A4</f>
        <v>Forecasted Test Period: Twelve Months Ended May 31, 2017</v>
      </c>
      <c r="B4" s="1256"/>
      <c r="C4" s="1256"/>
      <c r="D4" s="1256"/>
      <c r="E4" s="40"/>
      <c r="F4"/>
    </row>
    <row r="5" spans="1:6" ht="15.75" customHeight="1">
      <c r="B5" s="258"/>
      <c r="C5" s="40"/>
      <c r="D5" s="40"/>
      <c r="E5" s="40"/>
      <c r="F5"/>
    </row>
    <row r="6" spans="1:6" ht="15.75" customHeight="1">
      <c r="D6" s="47"/>
      <c r="F6"/>
    </row>
    <row r="7" spans="1:6" ht="15.75" customHeight="1">
      <c r="B7" s="4" t="s">
        <v>483</v>
      </c>
      <c r="D7" s="723" t="s">
        <v>1528</v>
      </c>
      <c r="F7"/>
    </row>
    <row r="8" spans="1:6" ht="15.75" customHeight="1">
      <c r="B8" s="4" t="s">
        <v>555</v>
      </c>
      <c r="D8" s="657" t="s">
        <v>260</v>
      </c>
      <c r="F8"/>
    </row>
    <row r="9" spans="1:6" ht="15.75" customHeight="1">
      <c r="A9" s="45"/>
      <c r="B9" s="4" t="s">
        <v>375</v>
      </c>
      <c r="C9" s="45"/>
      <c r="D9" s="657" t="str">
        <f>D.1!P9</f>
        <v>Witness:  Waller, Smith</v>
      </c>
      <c r="E9" s="47"/>
      <c r="F9"/>
    </row>
    <row r="10" spans="1:6" ht="15.75" customHeight="1">
      <c r="A10" s="1" t="s">
        <v>1098</v>
      </c>
      <c r="B10" s="13"/>
      <c r="C10" s="47"/>
      <c r="D10" s="85"/>
      <c r="E10" s="47"/>
      <c r="F10"/>
    </row>
    <row r="11" spans="1:6" ht="15.75" customHeight="1">
      <c r="A11" s="45" t="s">
        <v>1099</v>
      </c>
      <c r="B11" s="330" t="s">
        <v>619</v>
      </c>
      <c r="C11" s="6"/>
      <c r="D11" s="9" t="s">
        <v>109</v>
      </c>
      <c r="E11" s="47"/>
      <c r="F11"/>
    </row>
    <row r="12" spans="1:6" ht="15.75" customHeight="1">
      <c r="A12" s="77">
        <v>1</v>
      </c>
      <c r="B12" s="270" t="s">
        <v>620</v>
      </c>
      <c r="F12"/>
    </row>
    <row r="13" spans="1:6" ht="15.75" customHeight="1">
      <c r="A13" s="77">
        <f>A12+1</f>
        <v>2</v>
      </c>
      <c r="B13" s="115" t="s">
        <v>1313</v>
      </c>
      <c r="C13" s="115" t="s">
        <v>44</v>
      </c>
      <c r="D13" s="760">
        <f>'C.2.1 F'!D15</f>
        <v>95823029.825353429</v>
      </c>
      <c r="F13"/>
    </row>
    <row r="14" spans="1:6" ht="15.75" customHeight="1">
      <c r="A14" s="1012">
        <f t="shared" ref="A14:A71" si="0">A13+1</f>
        <v>3</v>
      </c>
      <c r="B14" s="115" t="s">
        <v>1633</v>
      </c>
      <c r="C14" s="115" t="s">
        <v>45</v>
      </c>
      <c r="D14" s="109">
        <f>'C.2.1 B'!D15</f>
        <v>98207124.629063994</v>
      </c>
      <c r="F14"/>
    </row>
    <row r="15" spans="1:6" ht="15.75" customHeight="1">
      <c r="A15" s="1012">
        <f t="shared" si="0"/>
        <v>4</v>
      </c>
      <c r="B15" s="107" t="s">
        <v>1314</v>
      </c>
      <c r="C15" s="115" t="s">
        <v>155</v>
      </c>
      <c r="D15" s="760">
        <f>D13-D14</f>
        <v>-2384094.803710565</v>
      </c>
      <c r="F15"/>
    </row>
    <row r="16" spans="1:6" ht="15.75" customHeight="1">
      <c r="A16" s="1012">
        <f t="shared" si="0"/>
        <v>5</v>
      </c>
      <c r="B16" s="107"/>
      <c r="C16" s="107"/>
      <c r="D16" s="227">
        <f>D15/D14</f>
        <v>-2.427618986621875E-2</v>
      </c>
      <c r="F16"/>
    </row>
    <row r="17" spans="1:6" ht="15.75" customHeight="1">
      <c r="A17" s="1012">
        <f t="shared" si="0"/>
        <v>6</v>
      </c>
      <c r="B17" s="107"/>
      <c r="C17" s="107"/>
      <c r="D17" s="227"/>
      <c r="F17"/>
    </row>
    <row r="18" spans="1:6" ht="15.75" customHeight="1">
      <c r="A18" s="1012">
        <f t="shared" si="0"/>
        <v>7</v>
      </c>
      <c r="B18" s="115" t="s">
        <v>1315</v>
      </c>
      <c r="C18" s="115" t="s">
        <v>44</v>
      </c>
      <c r="D18" s="760">
        <f>'C.2.1 F'!D16</f>
        <v>39862445.220677249</v>
      </c>
      <c r="F18"/>
    </row>
    <row r="19" spans="1:6" ht="15.75" customHeight="1">
      <c r="A19" s="1012">
        <f t="shared" si="0"/>
        <v>8</v>
      </c>
      <c r="B19" s="115" t="s">
        <v>1633</v>
      </c>
      <c r="C19" s="115" t="s">
        <v>45</v>
      </c>
      <c r="D19" s="109">
        <f>'C.2.1 B'!D17</f>
        <v>40950740.394301347</v>
      </c>
      <c r="F19"/>
    </row>
    <row r="20" spans="1:6" ht="15.75" customHeight="1">
      <c r="A20" s="1012">
        <f t="shared" si="0"/>
        <v>9</v>
      </c>
      <c r="B20" s="107" t="s">
        <v>1314</v>
      </c>
      <c r="C20" s="115" t="s">
        <v>155</v>
      </c>
      <c r="D20" s="760">
        <f>D18-D19</f>
        <v>-1088295.1736240983</v>
      </c>
      <c r="F20"/>
    </row>
    <row r="21" spans="1:6" ht="15.75" customHeight="1">
      <c r="A21" s="1012">
        <f t="shared" si="0"/>
        <v>10</v>
      </c>
      <c r="B21" s="107"/>
      <c r="C21" s="107"/>
      <c r="D21" s="227">
        <f>D20/D19</f>
        <v>-2.6575714215304982E-2</v>
      </c>
      <c r="F21"/>
    </row>
    <row r="22" spans="1:6" ht="15.75" customHeight="1">
      <c r="A22" s="1012">
        <f t="shared" si="0"/>
        <v>11</v>
      </c>
      <c r="B22" s="107"/>
      <c r="C22" s="107"/>
      <c r="D22" s="227"/>
      <c r="F22"/>
    </row>
    <row r="23" spans="1:6" ht="15.75" customHeight="1">
      <c r="A23" s="1012">
        <f t="shared" si="0"/>
        <v>12</v>
      </c>
      <c r="B23" s="115" t="s">
        <v>1316</v>
      </c>
      <c r="C23" s="115" t="s">
        <v>44</v>
      </c>
      <c r="D23" s="760">
        <f>'C.2.1 F'!D17</f>
        <v>4880527.2397751613</v>
      </c>
      <c r="F23"/>
    </row>
    <row r="24" spans="1:6" ht="15.75" customHeight="1">
      <c r="A24" s="1012">
        <f t="shared" si="0"/>
        <v>13</v>
      </c>
      <c r="B24" s="115" t="s">
        <v>1317</v>
      </c>
      <c r="C24" s="115" t="s">
        <v>45</v>
      </c>
      <c r="D24" s="109">
        <f>'C.2.1 B'!D18</f>
        <v>5451325.746213723</v>
      </c>
      <c r="F24"/>
    </row>
    <row r="25" spans="1:6" ht="15.75" customHeight="1">
      <c r="A25" s="1012">
        <f t="shared" si="0"/>
        <v>14</v>
      </c>
      <c r="B25" s="107" t="s">
        <v>1318</v>
      </c>
      <c r="C25" s="115" t="s">
        <v>155</v>
      </c>
      <c r="D25" s="760">
        <f>D23-D24</f>
        <v>-570798.50643856172</v>
      </c>
      <c r="F25"/>
    </row>
    <row r="26" spans="1:6" ht="15.75" customHeight="1">
      <c r="A26" s="1012">
        <f t="shared" si="0"/>
        <v>15</v>
      </c>
      <c r="B26" s="107"/>
      <c r="C26" s="107"/>
      <c r="D26" s="227">
        <f>D25/D24</f>
        <v>-0.10470819998878547</v>
      </c>
      <c r="F26"/>
    </row>
    <row r="27" spans="1:6" ht="15.75" customHeight="1">
      <c r="A27" s="1012">
        <f t="shared" si="0"/>
        <v>16</v>
      </c>
      <c r="B27" s="107"/>
      <c r="C27" s="107"/>
      <c r="D27" s="227"/>
      <c r="F27"/>
    </row>
    <row r="28" spans="1:6" ht="15.75" customHeight="1">
      <c r="A28" s="1012">
        <f t="shared" si="0"/>
        <v>17</v>
      </c>
      <c r="B28" s="115" t="s">
        <v>1319</v>
      </c>
      <c r="C28" s="115" t="s">
        <v>44</v>
      </c>
      <c r="D28" s="760">
        <f>'C.2.1 F'!D18</f>
        <v>7189609.0439688396</v>
      </c>
      <c r="F28"/>
    </row>
    <row r="29" spans="1:6" ht="15.75" customHeight="1">
      <c r="A29" s="1012">
        <f t="shared" si="0"/>
        <v>18</v>
      </c>
      <c r="B29" s="115" t="s">
        <v>1632</v>
      </c>
      <c r="C29" s="115" t="s">
        <v>45</v>
      </c>
      <c r="D29" s="109">
        <f>'C.2.1 B'!D21</f>
        <v>7553488.8796820827</v>
      </c>
      <c r="F29"/>
    </row>
    <row r="30" spans="1:6" ht="15.75" customHeight="1">
      <c r="A30" s="1012">
        <f t="shared" si="0"/>
        <v>19</v>
      </c>
      <c r="B30" s="107" t="s">
        <v>1326</v>
      </c>
      <c r="C30" s="115" t="s">
        <v>155</v>
      </c>
      <c r="D30" s="760">
        <f>D28-D29</f>
        <v>-363879.83571324311</v>
      </c>
      <c r="F30"/>
    </row>
    <row r="31" spans="1:6" ht="15.75" customHeight="1">
      <c r="A31" s="1012">
        <f t="shared" si="0"/>
        <v>20</v>
      </c>
      <c r="B31" s="107"/>
      <c r="C31" s="107"/>
      <c r="D31" s="227">
        <f>D30/D29</f>
        <v>-4.8173743485878856E-2</v>
      </c>
      <c r="F31"/>
    </row>
    <row r="32" spans="1:6" ht="15.75" customHeight="1">
      <c r="A32" s="1012">
        <f t="shared" si="0"/>
        <v>21</v>
      </c>
      <c r="B32" s="107"/>
      <c r="C32" s="107"/>
      <c r="D32" s="227"/>
      <c r="F32"/>
    </row>
    <row r="33" spans="1:6" ht="15.75" customHeight="1">
      <c r="A33" s="1012">
        <f t="shared" si="0"/>
        <v>22</v>
      </c>
      <c r="B33" s="107" t="s">
        <v>668</v>
      </c>
      <c r="C33" s="115" t="s">
        <v>44</v>
      </c>
      <c r="D33" s="760">
        <v>0</v>
      </c>
      <c r="F33"/>
    </row>
    <row r="34" spans="1:6" ht="15.75" customHeight="1">
      <c r="A34" s="1012">
        <f t="shared" si="0"/>
        <v>23</v>
      </c>
      <c r="B34" s="107"/>
      <c r="C34" s="115" t="s">
        <v>45</v>
      </c>
      <c r="D34" s="109">
        <v>0</v>
      </c>
      <c r="F34"/>
    </row>
    <row r="35" spans="1:6" ht="15.75" customHeight="1">
      <c r="A35" s="1012">
        <f t="shared" si="0"/>
        <v>24</v>
      </c>
      <c r="B35" s="107"/>
      <c r="C35" s="115" t="s">
        <v>155</v>
      </c>
      <c r="D35" s="760">
        <f>D33-D34</f>
        <v>0</v>
      </c>
      <c r="F35"/>
    </row>
    <row r="36" spans="1:6" ht="15.75" customHeight="1">
      <c r="A36" s="1012">
        <f t="shared" si="0"/>
        <v>25</v>
      </c>
      <c r="B36" s="107"/>
      <c r="C36" s="107"/>
      <c r="D36" s="761">
        <f>IF(D34=0,0,D35/D34)</f>
        <v>0</v>
      </c>
      <c r="F36"/>
    </row>
    <row r="37" spans="1:6" ht="15.75" customHeight="1">
      <c r="A37" s="1012">
        <f t="shared" si="0"/>
        <v>26</v>
      </c>
      <c r="B37" s="786" t="s">
        <v>621</v>
      </c>
      <c r="C37" s="107"/>
      <c r="D37" s="107"/>
      <c r="F37"/>
    </row>
    <row r="38" spans="1:6" ht="15.75" customHeight="1">
      <c r="A38" s="1012">
        <f t="shared" si="0"/>
        <v>27</v>
      </c>
      <c r="B38" s="107" t="s">
        <v>1322</v>
      </c>
      <c r="C38" s="115" t="s">
        <v>44</v>
      </c>
      <c r="D38" s="760">
        <f>'C.2.1 F'!D22</f>
        <v>1140887.1789956738</v>
      </c>
      <c r="F38"/>
    </row>
    <row r="39" spans="1:6" ht="15.75" customHeight="1">
      <c r="A39" s="1012">
        <f t="shared" si="0"/>
        <v>28</v>
      </c>
      <c r="B39" s="107" t="s">
        <v>1323</v>
      </c>
      <c r="C39" s="115" t="s">
        <v>45</v>
      </c>
      <c r="D39" s="109">
        <f>'C.2.1 B'!D26</f>
        <v>1230383.6535251739</v>
      </c>
      <c r="F39"/>
    </row>
    <row r="40" spans="1:6" ht="15.75" customHeight="1">
      <c r="A40" s="1012">
        <f t="shared" si="0"/>
        <v>29</v>
      </c>
      <c r="B40" s="107"/>
      <c r="C40" s="115" t="s">
        <v>155</v>
      </c>
      <c r="D40" s="760">
        <f>D38-D39</f>
        <v>-89496.474529500119</v>
      </c>
      <c r="F40"/>
    </row>
    <row r="41" spans="1:6" ht="15.75" customHeight="1">
      <c r="A41" s="1012">
        <f t="shared" si="0"/>
        <v>30</v>
      </c>
      <c r="B41" s="107"/>
      <c r="C41" s="107"/>
      <c r="D41" s="227">
        <f>D40/D39</f>
        <v>-7.2738673236663734E-2</v>
      </c>
      <c r="F41"/>
    </row>
    <row r="42" spans="1:6" ht="15.75" customHeight="1">
      <c r="A42" s="1012">
        <f t="shared" si="0"/>
        <v>31</v>
      </c>
      <c r="B42" s="107"/>
      <c r="C42" s="107"/>
      <c r="D42" s="227"/>
      <c r="F42"/>
    </row>
    <row r="43" spans="1:6" ht="15.75" customHeight="1">
      <c r="A43" s="1012">
        <f t="shared" si="0"/>
        <v>32</v>
      </c>
      <c r="B43" s="115" t="s">
        <v>1432</v>
      </c>
      <c r="C43" s="115" t="s">
        <v>44</v>
      </c>
      <c r="D43" s="760">
        <f>'C.2.1 F'!D23</f>
        <v>795825</v>
      </c>
      <c r="F43"/>
    </row>
    <row r="44" spans="1:6" ht="15.75" customHeight="1">
      <c r="A44" s="1012">
        <f t="shared" si="0"/>
        <v>33</v>
      </c>
      <c r="B44" s="115" t="s">
        <v>1320</v>
      </c>
      <c r="C44" s="115" t="s">
        <v>45</v>
      </c>
      <c r="D44" s="109">
        <f>'C.2.1 B'!D27</f>
        <v>796529.01</v>
      </c>
      <c r="F44"/>
    </row>
    <row r="45" spans="1:6" ht="15.75" customHeight="1">
      <c r="A45" s="1012">
        <f t="shared" si="0"/>
        <v>34</v>
      </c>
      <c r="B45" s="107"/>
      <c r="C45" s="115" t="s">
        <v>155</v>
      </c>
      <c r="D45" s="760">
        <f>D43-D44</f>
        <v>-704.01000000000931</v>
      </c>
      <c r="F45"/>
    </row>
    <row r="46" spans="1:6" ht="15.75" customHeight="1">
      <c r="A46" s="1012">
        <f t="shared" si="0"/>
        <v>35</v>
      </c>
      <c r="B46" s="107"/>
      <c r="C46" s="107"/>
      <c r="D46" s="227">
        <f>D45/D44</f>
        <v>-8.8384728134385121E-4</v>
      </c>
      <c r="F46"/>
    </row>
    <row r="47" spans="1:6" ht="15.75" customHeight="1">
      <c r="A47" s="1012">
        <f t="shared" si="0"/>
        <v>36</v>
      </c>
      <c r="B47" s="107"/>
      <c r="C47" s="107"/>
      <c r="D47" s="227"/>
      <c r="F47"/>
    </row>
    <row r="48" spans="1:6" ht="15.75" customHeight="1">
      <c r="A48" s="1012">
        <f t="shared" si="0"/>
        <v>37</v>
      </c>
      <c r="B48" s="115" t="s">
        <v>1321</v>
      </c>
      <c r="C48" s="115" t="s">
        <v>44</v>
      </c>
      <c r="D48" s="760">
        <f>'C.2.1 F'!D24</f>
        <v>14493603.90615</v>
      </c>
      <c r="F48"/>
    </row>
    <row r="49" spans="1:11" ht="15.75" customHeight="1">
      <c r="A49" s="1012">
        <f t="shared" si="0"/>
        <v>38</v>
      </c>
      <c r="B49" s="115" t="s">
        <v>1324</v>
      </c>
      <c r="C49" s="115" t="s">
        <v>45</v>
      </c>
      <c r="D49" s="109">
        <f>'C.2.1 B'!D28</f>
        <v>14819845.18675</v>
      </c>
      <c r="F49"/>
    </row>
    <row r="50" spans="1:11" ht="15.75" customHeight="1">
      <c r="A50" s="1012">
        <f t="shared" si="0"/>
        <v>39</v>
      </c>
      <c r="B50" s="107" t="s">
        <v>1325</v>
      </c>
      <c r="C50" s="115" t="s">
        <v>155</v>
      </c>
      <c r="D50" s="760">
        <f>D48-D49</f>
        <v>-326241.28060000017</v>
      </c>
      <c r="F50"/>
    </row>
    <row r="51" spans="1:11" ht="15.75" customHeight="1">
      <c r="A51" s="1012">
        <f t="shared" si="0"/>
        <v>40</v>
      </c>
      <c r="B51" s="107"/>
      <c r="C51" s="107"/>
      <c r="D51" s="227">
        <f>D50/D49</f>
        <v>-2.2013811648429579E-2</v>
      </c>
      <c r="F51"/>
    </row>
    <row r="52" spans="1:11" ht="15.75" customHeight="1">
      <c r="A52" s="1012">
        <f t="shared" si="0"/>
        <v>41</v>
      </c>
      <c r="B52" s="107"/>
      <c r="C52" s="107"/>
      <c r="D52" s="227"/>
      <c r="F52"/>
    </row>
    <row r="53" spans="1:11" ht="15.75" customHeight="1">
      <c r="A53" s="1012">
        <f t="shared" si="0"/>
        <v>42</v>
      </c>
      <c r="B53" s="107" t="s">
        <v>1619</v>
      </c>
      <c r="C53" s="115" t="s">
        <v>44</v>
      </c>
      <c r="D53" s="760">
        <f>'C.2.1 F'!D25</f>
        <v>2618728.0574999996</v>
      </c>
      <c r="F53"/>
    </row>
    <row r="54" spans="1:11" ht="15.75" customHeight="1">
      <c r="A54" s="1012">
        <f t="shared" si="0"/>
        <v>43</v>
      </c>
      <c r="B54" s="130" t="s">
        <v>1620</v>
      </c>
      <c r="C54" s="115" t="s">
        <v>45</v>
      </c>
      <c r="D54" s="109">
        <f>'C.2.1 B'!D29</f>
        <v>1366066.4424999999</v>
      </c>
      <c r="F54"/>
    </row>
    <row r="55" spans="1:11" ht="15.75" customHeight="1">
      <c r="A55" s="1012">
        <f t="shared" si="0"/>
        <v>44</v>
      </c>
      <c r="B55" s="107"/>
      <c r="C55" s="115" t="s">
        <v>155</v>
      </c>
      <c r="D55" s="760">
        <f>D53-D54</f>
        <v>1252661.6149999998</v>
      </c>
      <c r="F55"/>
    </row>
    <row r="56" spans="1:11" ht="15.75" customHeight="1">
      <c r="A56" s="1012">
        <f t="shared" si="0"/>
        <v>45</v>
      </c>
      <c r="B56" s="107"/>
      <c r="C56" s="107"/>
      <c r="D56" s="761">
        <f>IF(D54=0,0,D55/D54)</f>
        <v>0.91698439843638857</v>
      </c>
      <c r="F56"/>
    </row>
    <row r="57" spans="1:11" ht="15.75" customHeight="1">
      <c r="A57" s="1012">
        <f t="shared" si="0"/>
        <v>46</v>
      </c>
      <c r="B57" s="786" t="s">
        <v>484</v>
      </c>
      <c r="C57" s="107"/>
      <c r="D57" s="107"/>
      <c r="F57"/>
    </row>
    <row r="58" spans="1:11" ht="15.75" customHeight="1">
      <c r="A58" s="1012">
        <f t="shared" si="0"/>
        <v>47</v>
      </c>
      <c r="B58" s="115" t="s">
        <v>1626</v>
      </c>
      <c r="C58" s="115" t="s">
        <v>44</v>
      </c>
      <c r="D58" s="760">
        <f>'C.2.1 F'!D100</f>
        <v>79378176.690454662</v>
      </c>
      <c r="F58"/>
    </row>
    <row r="59" spans="1:11" ht="15.75" customHeight="1">
      <c r="A59" s="1012">
        <f t="shared" si="0"/>
        <v>48</v>
      </c>
      <c r="B59" s="115" t="s">
        <v>1627</v>
      </c>
      <c r="C59" s="115" t="s">
        <v>45</v>
      </c>
      <c r="D59" s="109">
        <f>'C.2.1 B'!D104</f>
        <v>77033020.869385153</v>
      </c>
      <c r="F59"/>
    </row>
    <row r="60" spans="1:11" ht="15.75" customHeight="1">
      <c r="A60" s="1012">
        <f t="shared" si="0"/>
        <v>49</v>
      </c>
      <c r="B60" s="1" t="s">
        <v>1630</v>
      </c>
      <c r="C60" s="4" t="s">
        <v>155</v>
      </c>
      <c r="D60" s="38">
        <f>D58-D59</f>
        <v>2345155.8210695088</v>
      </c>
      <c r="F60"/>
      <c r="G60" s="10"/>
      <c r="H60" s="10"/>
      <c r="I60" s="10"/>
      <c r="J60" s="10"/>
      <c r="K60" s="10"/>
    </row>
    <row r="61" spans="1:11" ht="15.75" customHeight="1">
      <c r="A61" s="1012">
        <f t="shared" si="0"/>
        <v>50</v>
      </c>
      <c r="B61" s="1" t="s">
        <v>1629</v>
      </c>
      <c r="D61" s="23">
        <f>D60/D59</f>
        <v>3.0443513633534945E-2</v>
      </c>
      <c r="F61"/>
      <c r="G61" s="10"/>
      <c r="H61" s="10"/>
      <c r="I61" s="10"/>
      <c r="J61" s="10"/>
      <c r="K61" s="10"/>
    </row>
    <row r="62" spans="1:11" ht="15.75" customHeight="1">
      <c r="A62" s="1130">
        <f t="shared" si="0"/>
        <v>51</v>
      </c>
      <c r="B62" s="1" t="s">
        <v>1628</v>
      </c>
      <c r="D62" s="23"/>
      <c r="F62" s="1058"/>
      <c r="G62" s="10"/>
      <c r="H62" s="10"/>
      <c r="I62" s="10"/>
      <c r="J62" s="10"/>
      <c r="K62" s="10"/>
    </row>
    <row r="63" spans="1:11" ht="15.75" customHeight="1">
      <c r="A63" s="1130">
        <f t="shared" si="0"/>
        <v>52</v>
      </c>
      <c r="D63" s="23"/>
      <c r="F63" s="1058"/>
      <c r="G63" s="10"/>
      <c r="H63" s="10"/>
      <c r="I63" s="10"/>
      <c r="J63" s="10"/>
      <c r="K63" s="10"/>
    </row>
    <row r="64" spans="1:11" ht="15.75" customHeight="1">
      <c r="A64" s="1130">
        <f t="shared" si="0"/>
        <v>53</v>
      </c>
      <c r="B64" t="s">
        <v>199</v>
      </c>
      <c r="F64"/>
    </row>
    <row r="65" spans="1:15" ht="15.75" customHeight="1">
      <c r="A65" s="1130">
        <f t="shared" si="0"/>
        <v>54</v>
      </c>
      <c r="B65" s="404" t="s">
        <v>1307</v>
      </c>
      <c r="C65"/>
      <c r="D65">
        <f>D14+D19+D24+D29+D34+D44+D49+D54+D39</f>
        <v>170375503.94203633</v>
      </c>
      <c r="E65"/>
      <c r="F65"/>
    </row>
    <row r="66" spans="1:15" ht="15.75" customHeight="1">
      <c r="A66" s="1130">
        <f t="shared" si="0"/>
        <v>55</v>
      </c>
      <c r="B66" s="404" t="s">
        <v>1308</v>
      </c>
      <c r="C66"/>
      <c r="D66" s="75">
        <f>D59</f>
        <v>77033020.869385153</v>
      </c>
      <c r="E66"/>
      <c r="F66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 customHeight="1">
      <c r="A67" s="1130">
        <f t="shared" si="0"/>
        <v>56</v>
      </c>
      <c r="B67" s="404" t="s">
        <v>1309</v>
      </c>
      <c r="C67"/>
      <c r="D67">
        <f>D65-D66</f>
        <v>93342483.072651178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1130">
        <f t="shared" si="0"/>
        <v>57</v>
      </c>
      <c r="B68" s="404"/>
      <c r="C68"/>
      <c r="D68"/>
      <c r="E68"/>
      <c r="F68"/>
      <c r="K68" s="39"/>
    </row>
    <row r="69" spans="1:15" ht="15.75" customHeight="1">
      <c r="A69" s="1130">
        <f t="shared" si="0"/>
        <v>58</v>
      </c>
      <c r="B69" s="404" t="s">
        <v>1310</v>
      </c>
      <c r="C69"/>
      <c r="D69">
        <f>D13+D18+D23+D28+D33+D43+D48+D53+D38</f>
        <v>166804655.47242033</v>
      </c>
      <c r="E69"/>
      <c r="F69"/>
    </row>
    <row r="70" spans="1:15" ht="15.75" customHeight="1">
      <c r="A70" s="1130">
        <f t="shared" si="0"/>
        <v>59</v>
      </c>
      <c r="B70" s="404" t="s">
        <v>1311</v>
      </c>
      <c r="C70"/>
      <c r="D70" s="75">
        <f>D58</f>
        <v>79378176.690454662</v>
      </c>
      <c r="E70"/>
      <c r="F7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 customHeight="1">
      <c r="A71" s="1130">
        <f t="shared" si="0"/>
        <v>60</v>
      </c>
      <c r="B71" s="404" t="s">
        <v>1312</v>
      </c>
      <c r="C71"/>
      <c r="D71">
        <f>D69-D70</f>
        <v>87426478.781965673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B72"/>
      <c r="C72"/>
      <c r="D72"/>
      <c r="E72"/>
      <c r="F72"/>
      <c r="K72" s="39"/>
    </row>
    <row r="73" spans="1:15" ht="15.75" customHeight="1">
      <c r="B73"/>
      <c r="C73"/>
      <c r="D73"/>
      <c r="E73"/>
      <c r="F73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 customHeight="1">
      <c r="B77"/>
      <c r="C77"/>
      <c r="D77"/>
      <c r="E77"/>
      <c r="F77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 s="29"/>
    </row>
    <row r="109" spans="2:6" ht="15.75" customHeight="1">
      <c r="B109" s="29"/>
    </row>
    <row r="111" spans="2:6" ht="15.75" customHeight="1">
      <c r="B111" s="29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71" right="0.43" top="0.75" bottom="0.67" header="0.5" footer="0.26"/>
  <pageSetup scale="62" orientation="portrait" verticalDpi="300" r:id="rId1"/>
  <headerFooter alignWithMargins="0">
    <oddFooter>&amp;RSchedule &amp;A
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B29" sqref="B29"/>
      <selection pane="bottomLeft" activeCell="B42" sqref="B42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56" t="str">
        <f>'Table of Contents'!A1:C1</f>
        <v>Atmos Energy Corporation, Kentucky/Mid-States Division</v>
      </c>
      <c r="B1" s="1256"/>
      <c r="C1" s="1256"/>
      <c r="D1" s="1256"/>
      <c r="E1" s="40"/>
    </row>
    <row r="2" spans="1:5" ht="15.75" customHeight="1">
      <c r="A2" s="1256" t="str">
        <f>'Table of Contents'!A2:C2</f>
        <v>Kentucky Jurisdiction Case No. 2015-00343</v>
      </c>
      <c r="B2" s="1256"/>
      <c r="C2" s="1256"/>
      <c r="D2" s="1256"/>
      <c r="E2" s="40"/>
    </row>
    <row r="3" spans="1:5" ht="15.75" customHeight="1">
      <c r="A3" s="1256" t="s">
        <v>444</v>
      </c>
      <c r="B3" s="1256"/>
      <c r="C3" s="1256"/>
      <c r="D3" s="1256"/>
      <c r="E3" s="40"/>
    </row>
    <row r="4" spans="1:5" ht="15.75" customHeight="1">
      <c r="A4" s="1256" t="str">
        <f>'Table of Contents'!A4:C4</f>
        <v>Forecasted Test Period: Twelve Months Ended May 31, 2017</v>
      </c>
      <c r="B4" s="1256"/>
      <c r="C4" s="1256"/>
      <c r="D4" s="1256"/>
      <c r="E4" s="40"/>
    </row>
    <row r="6" spans="1:5" ht="15.75" customHeight="1">
      <c r="B6" s="4" t="s">
        <v>696</v>
      </c>
      <c r="D6" s="723" t="s">
        <v>1529</v>
      </c>
    </row>
    <row r="7" spans="1:5" ht="15.75" customHeight="1">
      <c r="B7" s="4" t="s">
        <v>555</v>
      </c>
      <c r="D7" s="657" t="s">
        <v>268</v>
      </c>
    </row>
    <row r="8" spans="1:5" ht="15.75" customHeight="1">
      <c r="A8" s="45"/>
      <c r="B8" s="4" t="s">
        <v>472</v>
      </c>
      <c r="C8" s="45"/>
      <c r="D8" s="657" t="str">
        <f>D.1!P9</f>
        <v>Witness:  Waller, Smith</v>
      </c>
      <c r="E8"/>
    </row>
    <row r="9" spans="1:5" ht="15.75" customHeight="1">
      <c r="A9" s="1" t="s">
        <v>1098</v>
      </c>
      <c r="B9" s="13"/>
      <c r="C9" s="47"/>
      <c r="D9" s="13"/>
      <c r="E9"/>
    </row>
    <row r="10" spans="1:5" ht="15.75" customHeight="1">
      <c r="A10" s="45" t="s">
        <v>1099</v>
      </c>
      <c r="B10" s="183" t="s">
        <v>619</v>
      </c>
      <c r="C10" s="6"/>
      <c r="D10" s="9" t="s">
        <v>109</v>
      </c>
      <c r="E10"/>
    </row>
    <row r="11" spans="1:5" ht="15.75" customHeight="1">
      <c r="E11"/>
    </row>
    <row r="12" spans="1:5" ht="15.75" customHeight="1">
      <c r="A12" s="77">
        <v>1</v>
      </c>
      <c r="B12" s="270" t="s">
        <v>622</v>
      </c>
      <c r="E12"/>
    </row>
    <row r="13" spans="1:5" ht="15.75" customHeight="1">
      <c r="A13" s="77">
        <v>2</v>
      </c>
      <c r="B13" s="762" t="s">
        <v>1618</v>
      </c>
      <c r="C13" s="4" t="s">
        <v>44</v>
      </c>
      <c r="D13" s="458">
        <f>'[12]O&amp;M Comparison'!$D$6+'[12]O&amp;M Comparison'!$D$7</f>
        <v>7042617.4914135542</v>
      </c>
    </row>
    <row r="14" spans="1:5" ht="15.75" customHeight="1">
      <c r="A14" s="77">
        <v>3</v>
      </c>
      <c r="B14" s="762" t="s">
        <v>1634</v>
      </c>
      <c r="C14" s="4" t="s">
        <v>45</v>
      </c>
      <c r="D14" s="567">
        <f>'[12]O&amp;M Comparison'!$C$6+'[12]O&amp;M Comparison'!$C$7</f>
        <v>7022773.9900000002</v>
      </c>
    </row>
    <row r="15" spans="1:5" ht="15.75" customHeight="1">
      <c r="A15" s="77">
        <v>4</v>
      </c>
      <c r="B15" s="762" t="s">
        <v>1327</v>
      </c>
      <c r="C15" s="4" t="s">
        <v>155</v>
      </c>
      <c r="D15" s="764">
        <f>D13-D14</f>
        <v>19843.501413553953</v>
      </c>
    </row>
    <row r="16" spans="1:5" ht="15.75" customHeight="1">
      <c r="A16" s="77">
        <v>5</v>
      </c>
      <c r="B16" s="762" t="s">
        <v>1328</v>
      </c>
      <c r="D16" s="227">
        <f>D15/D14</f>
        <v>2.8255930550819212E-3</v>
      </c>
    </row>
    <row r="17" spans="1:5" ht="15.75" customHeight="1">
      <c r="A17" s="77">
        <v>6</v>
      </c>
      <c r="B17" s="763"/>
      <c r="D17" s="107"/>
    </row>
    <row r="18" spans="1:5" ht="15.75" customHeight="1">
      <c r="A18" s="77">
        <v>7</v>
      </c>
      <c r="B18" s="786" t="s">
        <v>479</v>
      </c>
      <c r="D18" s="107"/>
    </row>
    <row r="19" spans="1:5" ht="15.75" customHeight="1">
      <c r="A19" s="77">
        <v>8</v>
      </c>
      <c r="B19" s="763" t="s">
        <v>1329</v>
      </c>
      <c r="C19" s="4" t="s">
        <v>44</v>
      </c>
      <c r="D19" s="458">
        <f>'[12]O&amp;M Comparison'!$D$10</f>
        <v>564851.23999999987</v>
      </c>
    </row>
    <row r="20" spans="1:5" ht="15.75" customHeight="1">
      <c r="A20" s="77">
        <v>9</v>
      </c>
      <c r="B20" s="763" t="s">
        <v>1330</v>
      </c>
      <c r="C20" s="4" t="s">
        <v>45</v>
      </c>
      <c r="D20" s="567">
        <f>'[12]O&amp;M Comparison'!$C$10</f>
        <v>621710.18000000017</v>
      </c>
    </row>
    <row r="21" spans="1:5" ht="15.75" customHeight="1">
      <c r="A21" s="77">
        <v>10</v>
      </c>
      <c r="B21" s="763" t="s">
        <v>1331</v>
      </c>
      <c r="C21" s="4" t="s">
        <v>155</v>
      </c>
      <c r="D21" s="760">
        <f>D19-D20</f>
        <v>-56858.940000000293</v>
      </c>
    </row>
    <row r="22" spans="1:5" ht="15.75" customHeight="1">
      <c r="A22" s="77">
        <v>11</v>
      </c>
      <c r="B22" s="763" t="s">
        <v>1333</v>
      </c>
      <c r="D22" s="227">
        <f>D21/D20</f>
        <v>-9.1455700468022386E-2</v>
      </c>
    </row>
    <row r="23" spans="1:5" ht="15.75" customHeight="1">
      <c r="A23" s="77">
        <v>12</v>
      </c>
      <c r="B23" s="763" t="s">
        <v>1332</v>
      </c>
      <c r="D23" s="107"/>
    </row>
    <row r="24" spans="1:5" ht="15.75" customHeight="1">
      <c r="A24" s="77">
        <v>13</v>
      </c>
      <c r="B24" s="763"/>
      <c r="D24" s="107"/>
    </row>
    <row r="25" spans="1:5" ht="15.75" customHeight="1">
      <c r="A25" s="77">
        <v>14</v>
      </c>
      <c r="B25" s="786" t="s">
        <v>480</v>
      </c>
      <c r="D25" s="107"/>
    </row>
    <row r="26" spans="1:5" ht="15.75" customHeight="1">
      <c r="A26" s="77">
        <v>15</v>
      </c>
      <c r="B26" s="763" t="s">
        <v>1334</v>
      </c>
      <c r="C26" s="4" t="s">
        <v>44</v>
      </c>
      <c r="D26" s="764">
        <f>'[12]O&amp;M Comparison'!$D$25-D13-D19-D32</f>
        <v>4905113.5900074989</v>
      </c>
    </row>
    <row r="27" spans="1:5" ht="15.75" customHeight="1">
      <c r="A27" s="77">
        <v>16</v>
      </c>
      <c r="B27" s="763" t="s">
        <v>1622</v>
      </c>
      <c r="C27" s="4" t="s">
        <v>45</v>
      </c>
      <c r="D27" s="765">
        <f>'[12]O&amp;M Comparison'!$C$25-D14-D20-D33</f>
        <v>5368419.6790142525</v>
      </c>
    </row>
    <row r="28" spans="1:5" ht="15.75" customHeight="1">
      <c r="A28" s="77">
        <v>17</v>
      </c>
      <c r="B28" s="763" t="s">
        <v>1617</v>
      </c>
      <c r="C28" s="4" t="s">
        <v>155</v>
      </c>
      <c r="D28" s="760">
        <f>D26-D27</f>
        <v>-463306.08900675364</v>
      </c>
    </row>
    <row r="29" spans="1:5" ht="15.75" customHeight="1">
      <c r="A29" s="77">
        <v>18</v>
      </c>
      <c r="B29" s="763"/>
      <c r="D29" s="227">
        <f>D28/D27</f>
        <v>-8.6302136701023671E-2</v>
      </c>
    </row>
    <row r="30" spans="1:5" ht="15.75" customHeight="1">
      <c r="A30" s="77">
        <v>19</v>
      </c>
      <c r="B30" s="763"/>
      <c r="D30" s="107"/>
    </row>
    <row r="31" spans="1:5" ht="15.75" customHeight="1">
      <c r="A31" s="77">
        <v>20</v>
      </c>
      <c r="B31" s="786" t="s">
        <v>481</v>
      </c>
      <c r="D31" s="107"/>
    </row>
    <row r="32" spans="1:5" ht="15.75" customHeight="1">
      <c r="A32" s="77">
        <v>21</v>
      </c>
      <c r="B32" s="763" t="s">
        <v>1335</v>
      </c>
      <c r="C32" s="4" t="s">
        <v>44</v>
      </c>
      <c r="D32" s="99">
        <f>'[12]O&amp;M Comparison'!$D$22</f>
        <v>313426.18041533593</v>
      </c>
      <c r="E32" s="10"/>
    </row>
    <row r="33" spans="1:11" ht="15.75" customHeight="1">
      <c r="A33" s="77">
        <v>22</v>
      </c>
      <c r="B33" s="763" t="s">
        <v>1336</v>
      </c>
      <c r="C33" s="4" t="s">
        <v>45</v>
      </c>
      <c r="D33" s="109">
        <f>'[12]O&amp;M Comparison'!$C$22</f>
        <v>564321.71039999998</v>
      </c>
      <c r="E33" s="10"/>
    </row>
    <row r="34" spans="1:11" ht="15.75" customHeight="1">
      <c r="A34" s="77">
        <v>23</v>
      </c>
      <c r="B34" s="763" t="s">
        <v>1621</v>
      </c>
      <c r="C34" s="4" t="s">
        <v>155</v>
      </c>
      <c r="D34" s="766">
        <f>D32-D33</f>
        <v>-250895.52998466406</v>
      </c>
    </row>
    <row r="35" spans="1:11" ht="15.75" customHeight="1">
      <c r="A35" s="77">
        <v>24</v>
      </c>
      <c r="B35" s="117"/>
      <c r="D35" s="227">
        <f>D34/D32</f>
        <v>-0.80049321231618387</v>
      </c>
      <c r="E35" s="10"/>
    </row>
    <row r="36" spans="1:11" ht="15.75" customHeight="1">
      <c r="A36" s="77">
        <v>25</v>
      </c>
      <c r="B36" s="270" t="s">
        <v>482</v>
      </c>
      <c r="C36" s="10"/>
      <c r="D36" s="99"/>
      <c r="E36" s="10"/>
      <c r="F36" s="10"/>
      <c r="G36" s="10"/>
      <c r="H36" s="10"/>
      <c r="I36" s="10"/>
      <c r="J36" s="10"/>
      <c r="K36" s="10"/>
    </row>
    <row r="37" spans="1:11" ht="15.75" customHeight="1">
      <c r="A37" s="77">
        <v>26</v>
      </c>
      <c r="B37" s="763" t="s">
        <v>1337</v>
      </c>
      <c r="C37" s="4" t="s">
        <v>44</v>
      </c>
      <c r="D37" s="458">
        <f>'[12]O&amp;M Comparison'!$H$25+'[12]O&amp;M Comparison'!$L$25</f>
        <v>14025277.326204844</v>
      </c>
    </row>
    <row r="38" spans="1:11" ht="15.75" customHeight="1">
      <c r="A38" s="77">
        <v>27</v>
      </c>
      <c r="B38" s="130" t="s">
        <v>1338</v>
      </c>
      <c r="C38" s="4" t="s">
        <v>45</v>
      </c>
      <c r="D38" s="567">
        <f>'[12]O&amp;M Comparison'!$G$25+'[12]O&amp;M Comparison'!$K$25</f>
        <v>13070219.099932838</v>
      </c>
    </row>
    <row r="39" spans="1:11" ht="15.75" customHeight="1">
      <c r="A39" s="77">
        <v>28</v>
      </c>
      <c r="B39" s="117" t="s">
        <v>1339</v>
      </c>
      <c r="C39" s="4" t="s">
        <v>155</v>
      </c>
      <c r="D39" s="760">
        <f>D37-D38</f>
        <v>955058.22627200559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77">
        <v>29</v>
      </c>
      <c r="B40" s="4"/>
      <c r="D40" s="227">
        <f>D39/D38</f>
        <v>7.3071324892856102E-2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77">
        <v>30</v>
      </c>
      <c r="B41" s="4"/>
      <c r="D41" s="23"/>
      <c r="E41" s="10"/>
      <c r="F41" s="10"/>
      <c r="G41" s="10"/>
      <c r="H41" s="10"/>
      <c r="I41" s="10"/>
      <c r="J41" s="10"/>
      <c r="K41" s="10"/>
    </row>
    <row r="42" spans="1:11" ht="15.75" customHeight="1">
      <c r="A42" s="77">
        <v>31</v>
      </c>
      <c r="B42" s="16" t="s">
        <v>401</v>
      </c>
      <c r="C42" t="s">
        <v>44</v>
      </c>
      <c r="D42" s="251">
        <f>D13+D19+D26+D32+D37</f>
        <v>26851285.828041233</v>
      </c>
      <c r="E42"/>
    </row>
    <row r="43" spans="1:11" ht="15.75" customHeight="1">
      <c r="A43" s="77">
        <v>32</v>
      </c>
      <c r="B43"/>
      <c r="C43" t="s">
        <v>45</v>
      </c>
      <c r="D43" s="549">
        <f>D14+D20+D27+D33+D38</f>
        <v>26647444.659347091</v>
      </c>
      <c r="E43"/>
    </row>
    <row r="44" spans="1:11" ht="15.75" customHeight="1">
      <c r="A44" s="77">
        <v>33</v>
      </c>
      <c r="B44"/>
      <c r="C44" t="s">
        <v>155</v>
      </c>
      <c r="D44" s="38">
        <f>D42-D43</f>
        <v>203841.16869414225</v>
      </c>
      <c r="E44"/>
    </row>
    <row r="45" spans="1:11" ht="15.75" customHeight="1">
      <c r="A45" s="77">
        <v>34</v>
      </c>
      <c r="B45"/>
      <c r="C45"/>
      <c r="D45" s="23">
        <f>D44/D43</f>
        <v>7.6495578206460836E-3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3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9"/>
    </row>
    <row r="74" spans="2:11" ht="15.75" customHeight="1">
      <c r="B74"/>
      <c r="C74"/>
      <c r="D74"/>
      <c r="E74"/>
      <c r="G74" s="29"/>
    </row>
    <row r="75" spans="2:11" ht="15.75" customHeight="1">
      <c r="B75"/>
      <c r="C75"/>
      <c r="D75"/>
      <c r="E75"/>
      <c r="G75" s="29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3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3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3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3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3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3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4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topLeftCell="A7" zoomScale="80" zoomScaleNormal="90" zoomScaleSheetLayoutView="80" workbookViewId="0">
      <selection activeCell="B42" sqref="B42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56" t="str">
        <f>'Table of Contents'!A1:C1</f>
        <v>Atmos Energy Corporation, Kentucky/Mid-States Division</v>
      </c>
      <c r="B1" s="1256"/>
      <c r="C1" s="1256"/>
      <c r="D1" s="1256"/>
    </row>
    <row r="2" spans="1:10">
      <c r="A2" s="1256" t="str">
        <f>'Table of Contents'!A2:C2</f>
        <v>Kentucky Jurisdiction Case No. 2015-00343</v>
      </c>
      <c r="B2" s="1256"/>
      <c r="C2" s="1256"/>
      <c r="D2" s="1256"/>
    </row>
    <row r="3" spans="1:10">
      <c r="A3" s="1256" t="s">
        <v>444</v>
      </c>
      <c r="B3" s="1256"/>
      <c r="C3" s="1256"/>
      <c r="D3" s="1256"/>
    </row>
    <row r="4" spans="1:10">
      <c r="A4" s="1256" t="str">
        <f>'Table of Contents'!A4:C4</f>
        <v>Forecasted Test Period: Twelve Months Ended May 31, 2017</v>
      </c>
      <c r="B4" s="1256"/>
      <c r="C4" s="1256"/>
      <c r="D4" s="1256"/>
    </row>
    <row r="5" spans="1:10">
      <c r="D5" s="47"/>
      <c r="F5" s="29"/>
    </row>
    <row r="6" spans="1:10">
      <c r="B6" s="4" t="s">
        <v>696</v>
      </c>
      <c r="D6" s="723" t="s">
        <v>1530</v>
      </c>
      <c r="F6" s="29"/>
    </row>
    <row r="7" spans="1:10">
      <c r="B7" s="4" t="s">
        <v>631</v>
      </c>
      <c r="D7" s="657" t="s">
        <v>269</v>
      </c>
      <c r="F7" s="29"/>
    </row>
    <row r="8" spans="1:10">
      <c r="A8" s="45"/>
      <c r="B8" s="4" t="s">
        <v>375</v>
      </c>
      <c r="C8" s="45"/>
      <c r="D8" s="725" t="str">
        <f>D.1!P9</f>
        <v>Witness:  Waller, Smith</v>
      </c>
    </row>
    <row r="9" spans="1:10">
      <c r="A9" s="1" t="s">
        <v>1098</v>
      </c>
      <c r="B9" s="13"/>
      <c r="C9" s="47"/>
      <c r="D9" s="13"/>
    </row>
    <row r="10" spans="1:10">
      <c r="A10" s="45" t="s">
        <v>1099</v>
      </c>
      <c r="B10" s="183" t="s">
        <v>619</v>
      </c>
      <c r="C10" s="6"/>
      <c r="D10" s="9" t="s">
        <v>109</v>
      </c>
    </row>
    <row r="12" spans="1:10" ht="15.75">
      <c r="A12" s="77">
        <v>1</v>
      </c>
      <c r="B12" s="270" t="s">
        <v>620</v>
      </c>
      <c r="D12" s="107"/>
    </row>
    <row r="13" spans="1:10">
      <c r="A13" s="77">
        <v>2</v>
      </c>
      <c r="B13" s="107" t="s">
        <v>1399</v>
      </c>
      <c r="C13" s="4" t="s">
        <v>44</v>
      </c>
      <c r="D13" s="760">
        <f>'C.2.2-F 09'!P14</f>
        <v>19396019.526407063</v>
      </c>
      <c r="J13" s="10"/>
    </row>
    <row r="14" spans="1:10">
      <c r="A14" s="77">
        <v>3</v>
      </c>
      <c r="B14" s="107" t="s">
        <v>1226</v>
      </c>
      <c r="C14" s="4" t="s">
        <v>45</v>
      </c>
      <c r="D14" s="109">
        <f>'C.2.2 B 09'!P14</f>
        <v>18204283.53809939</v>
      </c>
    </row>
    <row r="15" spans="1:10">
      <c r="A15" s="77">
        <v>4</v>
      </c>
      <c r="C15" s="4" t="s">
        <v>155</v>
      </c>
      <c r="D15" s="760">
        <f>D13-D14</f>
        <v>1191735.9883076735</v>
      </c>
    </row>
    <row r="16" spans="1:10">
      <c r="A16" s="77">
        <v>5</v>
      </c>
      <c r="D16" s="227">
        <f>D15/D14</f>
        <v>6.5464591661270957E-2</v>
      </c>
    </row>
    <row r="17" spans="1:10" ht="15.75">
      <c r="A17" s="77">
        <v>6</v>
      </c>
      <c r="B17" s="270" t="s">
        <v>621</v>
      </c>
      <c r="D17" s="227"/>
    </row>
    <row r="18" spans="1:10">
      <c r="A18" s="77">
        <v>7</v>
      </c>
      <c r="B18" s="115" t="s">
        <v>1227</v>
      </c>
      <c r="C18" s="4" t="s">
        <v>44</v>
      </c>
      <c r="D18" s="760">
        <f>'C.2.2-F 09'!P16</f>
        <v>6100220.1526932763</v>
      </c>
      <c r="J18" s="10"/>
    </row>
    <row r="19" spans="1:10">
      <c r="A19" s="77">
        <v>8</v>
      </c>
      <c r="B19" s="115" t="s">
        <v>1228</v>
      </c>
      <c r="C19" s="4" t="s">
        <v>45</v>
      </c>
      <c r="D19" s="109">
        <f>'C.2.2 B 09'!P16</f>
        <v>6437544.724313166</v>
      </c>
    </row>
    <row r="20" spans="1:10" ht="16.5" customHeight="1">
      <c r="A20" s="77">
        <v>9</v>
      </c>
      <c r="B20" s="107"/>
      <c r="C20" s="4" t="s">
        <v>155</v>
      </c>
      <c r="D20" s="760">
        <f>D18-D19</f>
        <v>-337324.5716198897</v>
      </c>
    </row>
    <row r="21" spans="1:10">
      <c r="A21" s="77">
        <v>10</v>
      </c>
      <c r="B21" s="107"/>
      <c r="D21" s="23">
        <f>D20/D19</f>
        <v>-5.2399569411283507E-2</v>
      </c>
    </row>
    <row r="22" spans="1:10">
      <c r="D22" s="38"/>
      <c r="J22" s="10"/>
    </row>
    <row r="23" spans="1:10">
      <c r="B23" s="4"/>
      <c r="C23" s="4"/>
      <c r="D23" s="3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4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B20" sqref="B20"/>
    </sheetView>
  </sheetViews>
  <sheetFormatPr defaultRowHeight="15"/>
  <cols>
    <col min="3" max="3" width="67.66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3" spans="1:3">
      <c r="A13" s="1241" t="s">
        <v>1531</v>
      </c>
      <c r="B13" s="1241"/>
      <c r="C13" s="1241"/>
    </row>
    <row r="15" spans="1:3" ht="15.75">
      <c r="A15" s="1262" t="s">
        <v>478</v>
      </c>
      <c r="B15" s="1262"/>
      <c r="C15" s="1262"/>
    </row>
    <row r="18" spans="1:3">
      <c r="A18" s="84" t="s">
        <v>63</v>
      </c>
      <c r="B18" s="84" t="s">
        <v>630</v>
      </c>
      <c r="C18" s="84" t="s">
        <v>1004</v>
      </c>
    </row>
    <row r="20" spans="1:3">
      <c r="A20" s="76" t="s">
        <v>845</v>
      </c>
      <c r="B20" s="76"/>
      <c r="C20" t="s">
        <v>478</v>
      </c>
    </row>
    <row r="21" spans="1:3">
      <c r="B21" s="76"/>
    </row>
    <row r="22" spans="1:3">
      <c r="B22" s="76"/>
    </row>
    <row r="23" spans="1:3">
      <c r="B23" s="76"/>
    </row>
  </sheetData>
  <mergeCells count="6">
    <mergeCell ref="A4:C4"/>
    <mergeCell ref="A13:C13"/>
    <mergeCell ref="A15:C15"/>
    <mergeCell ref="A1:C1"/>
    <mergeCell ref="A2:C2"/>
    <mergeCell ref="A3:C3"/>
  </mergeCells>
  <phoneticPr fontId="24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80" zoomScaleNormal="100" zoomScaleSheetLayoutView="80" workbookViewId="0">
      <selection sqref="A1:C1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9" spans="1:3">
      <c r="A9" s="1241" t="s">
        <v>1510</v>
      </c>
      <c r="B9" s="1241"/>
      <c r="C9" s="1241"/>
    </row>
    <row r="11" spans="1:3" ht="15.75">
      <c r="A11" s="1245" t="s">
        <v>276</v>
      </c>
      <c r="B11" s="1245"/>
      <c r="C11" s="1245"/>
    </row>
    <row r="14" spans="1:3" ht="15.75">
      <c r="A14" s="382" t="s">
        <v>63</v>
      </c>
      <c r="B14" s="617"/>
      <c r="C14" s="382" t="s">
        <v>1004</v>
      </c>
    </row>
    <row r="15" spans="1:3">
      <c r="A15" s="104"/>
      <c r="B15" s="268"/>
      <c r="C15" s="60"/>
    </row>
    <row r="16" spans="1:3">
      <c r="A16" s="304" t="s">
        <v>377</v>
      </c>
      <c r="B16" s="618"/>
      <c r="C16" s="60" t="s">
        <v>176</v>
      </c>
    </row>
    <row r="17" spans="1:3">
      <c r="A17" s="304" t="s">
        <v>694</v>
      </c>
      <c r="B17" s="618"/>
      <c r="C17" s="60" t="s">
        <v>545</v>
      </c>
    </row>
    <row r="18" spans="1:3">
      <c r="A18" s="304" t="s">
        <v>695</v>
      </c>
      <c r="B18" s="618"/>
      <c r="C18" s="60" t="s">
        <v>430</v>
      </c>
    </row>
    <row r="19" spans="1:3">
      <c r="A19" s="304" t="s">
        <v>1139</v>
      </c>
      <c r="B19" s="618"/>
      <c r="C19" s="60" t="s">
        <v>96</v>
      </c>
    </row>
    <row r="20" spans="1:3">
      <c r="A20" s="304" t="s">
        <v>84</v>
      </c>
      <c r="B20" s="618"/>
      <c r="C20" s="60" t="s">
        <v>85</v>
      </c>
    </row>
    <row r="21" spans="1:3">
      <c r="A21" s="304" t="s">
        <v>87</v>
      </c>
      <c r="B21" s="618"/>
      <c r="C21" s="60" t="s">
        <v>864</v>
      </c>
    </row>
    <row r="22" spans="1:3">
      <c r="A22" s="304" t="s">
        <v>86</v>
      </c>
      <c r="B22" s="618"/>
      <c r="C22" s="60" t="s">
        <v>865</v>
      </c>
    </row>
    <row r="23" spans="1:3">
      <c r="A23" s="304" t="s">
        <v>89</v>
      </c>
      <c r="B23" s="618"/>
      <c r="C23" s="60" t="s">
        <v>644</v>
      </c>
    </row>
    <row r="24" spans="1:3">
      <c r="A24" s="304" t="s">
        <v>824</v>
      </c>
      <c r="B24" s="618"/>
      <c r="C24" s="4" t="s">
        <v>649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4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80" zoomScaleNormal="90" zoomScaleSheetLayoutView="80" workbookViewId="0">
      <selection activeCell="J24" sqref="J24"/>
    </sheetView>
  </sheetViews>
  <sheetFormatPr defaultColWidth="13.88671875" defaultRowHeight="15"/>
  <cols>
    <col min="1" max="1" width="3.6640625" style="55" customWidth="1"/>
    <col min="2" max="2" width="16.21875" style="55" customWidth="1"/>
    <col min="3" max="3" width="11" style="55" customWidth="1"/>
    <col min="4" max="4" width="12.33203125" style="55" customWidth="1"/>
    <col min="5" max="5" width="13.109375" style="55" customWidth="1"/>
    <col min="6" max="6" width="12.5546875" style="55" customWidth="1"/>
    <col min="7" max="7" width="13.109375" style="55" customWidth="1"/>
    <col min="8" max="8" width="8.6640625" style="55" customWidth="1"/>
    <col min="9" max="9" width="13.88671875" style="55" customWidth="1"/>
    <col min="10" max="10" width="15.109375" style="55" customWidth="1"/>
    <col min="11" max="16384" width="13.88671875" style="55"/>
  </cols>
  <sheetData>
    <row r="1" spans="1:16">
      <c r="A1" s="1255" t="str">
        <f>'Table of Contents'!A1:C1</f>
        <v>Atmos Energy Corporation, Kentucky/Mid-States Division</v>
      </c>
      <c r="B1" s="1255"/>
      <c r="C1" s="1255"/>
      <c r="D1" s="1255"/>
      <c r="E1" s="1255"/>
      <c r="F1" s="1255"/>
      <c r="G1" s="1255"/>
      <c r="H1" s="1255"/>
      <c r="I1" s="40"/>
      <c r="M1" s="56"/>
      <c r="O1" s="56"/>
      <c r="P1" s="56"/>
    </row>
    <row r="2" spans="1:16">
      <c r="A2" s="1255" t="str">
        <f>'Table of Contents'!A2:C2</f>
        <v>Kentucky Jurisdiction Case No. 2015-00343</v>
      </c>
      <c r="B2" s="1255"/>
      <c r="C2" s="1255"/>
      <c r="D2" s="1255"/>
      <c r="E2" s="1255"/>
      <c r="F2" s="1255"/>
      <c r="G2" s="1255"/>
      <c r="H2" s="1255"/>
      <c r="I2" s="40"/>
      <c r="P2" s="56"/>
    </row>
    <row r="3" spans="1:16">
      <c r="A3" s="1255" t="s">
        <v>156</v>
      </c>
      <c r="B3" s="1255"/>
      <c r="C3" s="1255"/>
      <c r="D3" s="1255"/>
      <c r="E3" s="1255"/>
      <c r="F3" s="1255"/>
      <c r="G3" s="1255"/>
      <c r="H3" s="1255"/>
      <c r="I3" s="40"/>
    </row>
    <row r="4" spans="1:16">
      <c r="A4" s="1255" t="str">
        <f>'Table of Contents'!A3:C3</f>
        <v>Base Period: Twelve Months Ended February 29, 2016</v>
      </c>
      <c r="B4" s="1255"/>
      <c r="C4" s="1255"/>
      <c r="D4" s="1255"/>
      <c r="E4" s="1255"/>
      <c r="F4" s="1255"/>
      <c r="G4" s="1255"/>
      <c r="H4" s="1255"/>
      <c r="I4" s="40"/>
      <c r="M4" s="56"/>
      <c r="O4" s="56"/>
      <c r="P4" s="56"/>
    </row>
    <row r="5" spans="1:16">
      <c r="A5" s="1255" t="str">
        <f>'Table of Contents'!A4:C4</f>
        <v>Forecasted Test Period: Twelve Months Ended May 31, 2017</v>
      </c>
      <c r="B5" s="1255"/>
      <c r="C5" s="1255"/>
      <c r="D5" s="1255"/>
      <c r="E5" s="1255"/>
      <c r="F5" s="1255"/>
      <c r="G5" s="1255"/>
      <c r="H5" s="1255"/>
      <c r="I5" s="40"/>
      <c r="M5" s="56"/>
      <c r="O5" s="56"/>
      <c r="P5" s="56"/>
    </row>
    <row r="6" spans="1:16">
      <c r="A6" s="4"/>
      <c r="B6" s="71"/>
      <c r="C6" s="71"/>
      <c r="D6" s="72"/>
      <c r="P6" s="56"/>
    </row>
    <row r="7" spans="1:16">
      <c r="B7" s="72"/>
      <c r="C7" s="72"/>
      <c r="D7" s="72"/>
      <c r="H7" s="491" t="s">
        <v>1503</v>
      </c>
      <c r="I7" s="4"/>
    </row>
    <row r="8" spans="1:16">
      <c r="A8" s="4" t="s">
        <v>631</v>
      </c>
      <c r="B8" s="72"/>
      <c r="C8" s="72"/>
      <c r="D8" s="72"/>
      <c r="H8" s="648" t="s">
        <v>846</v>
      </c>
      <c r="I8" s="4"/>
      <c r="M8" s="56"/>
      <c r="O8" s="56"/>
      <c r="P8" s="56"/>
    </row>
    <row r="9" spans="1:16">
      <c r="A9" s="73" t="s">
        <v>375</v>
      </c>
      <c r="B9" s="57"/>
      <c r="C9" s="57"/>
      <c r="D9" s="57"/>
      <c r="E9" s="211"/>
      <c r="F9" s="211"/>
      <c r="G9" s="211"/>
      <c r="H9" s="726" t="s">
        <v>1349</v>
      </c>
      <c r="I9" s="72"/>
      <c r="M9" s="56"/>
      <c r="P9" s="56"/>
    </row>
    <row r="10" spans="1:16">
      <c r="E10" s="72"/>
      <c r="F10" s="71"/>
      <c r="G10" s="72"/>
      <c r="H10" s="71"/>
      <c r="I10" s="72"/>
    </row>
    <row r="11" spans="1:16">
      <c r="A11" s="56" t="s">
        <v>98</v>
      </c>
      <c r="E11" s="46" t="s">
        <v>333</v>
      </c>
      <c r="F11" s="2"/>
      <c r="G11" s="77" t="s">
        <v>325</v>
      </c>
      <c r="H11" s="77" t="s">
        <v>144</v>
      </c>
      <c r="I11" s="299"/>
    </row>
    <row r="12" spans="1:16">
      <c r="A12" s="58" t="s">
        <v>104</v>
      </c>
      <c r="B12" s="58" t="s">
        <v>1004</v>
      </c>
      <c r="C12" s="57"/>
      <c r="D12" s="57"/>
      <c r="E12" s="9" t="s">
        <v>1005</v>
      </c>
      <c r="F12" s="9" t="s">
        <v>1006</v>
      </c>
      <c r="G12" s="9" t="s">
        <v>847</v>
      </c>
      <c r="H12" s="9" t="s">
        <v>463</v>
      </c>
      <c r="I12" s="46"/>
    </row>
    <row r="13" spans="1:16">
      <c r="E13" s="2" t="s">
        <v>1112</v>
      </c>
      <c r="F13" s="2" t="s">
        <v>1113</v>
      </c>
      <c r="G13" s="2" t="s">
        <v>1114</v>
      </c>
      <c r="H13" s="2"/>
      <c r="I13" s="46"/>
    </row>
    <row r="14" spans="1:16">
      <c r="E14" s="2"/>
      <c r="F14" s="2"/>
      <c r="G14" s="2"/>
      <c r="H14" s="2"/>
      <c r="I14" s="46"/>
    </row>
    <row r="15" spans="1:16">
      <c r="A15" s="77">
        <v>1</v>
      </c>
      <c r="B15" s="55" t="s">
        <v>848</v>
      </c>
      <c r="E15" s="727">
        <f>+C.2!D14-SUM(C.2!D17:D27)</f>
        <v>31501159.443036184</v>
      </c>
      <c r="F15" s="727">
        <f>+G15-E15</f>
        <v>4906044.4765219837</v>
      </c>
      <c r="G15" s="727">
        <f>C.2!O14-SUM(C.2!O17:O27)</f>
        <v>36407203.919558167</v>
      </c>
      <c r="H15" s="2" t="s">
        <v>145</v>
      </c>
      <c r="I15" s="46"/>
    </row>
    <row r="16" spans="1:16">
      <c r="A16" s="77"/>
      <c r="E16" s="22"/>
      <c r="F16" s="22"/>
      <c r="G16" s="22"/>
      <c r="H16" s="2"/>
      <c r="I16" s="2"/>
    </row>
    <row r="17" spans="1:34">
      <c r="A17" s="77">
        <v>2</v>
      </c>
      <c r="B17" s="55" t="s">
        <v>216</v>
      </c>
      <c r="E17" s="216">
        <f>+E32</f>
        <v>7209861.1314391149</v>
      </c>
      <c r="F17" s="216">
        <f>+G17-E17</f>
        <v>529611.62065250054</v>
      </c>
      <c r="G17" s="216">
        <f>+G32</f>
        <v>7739472.7520916155</v>
      </c>
      <c r="H17" s="2" t="s">
        <v>792</v>
      </c>
      <c r="I17" s="2"/>
    </row>
    <row r="18" spans="1:34">
      <c r="A18" s="77"/>
      <c r="B18" s="361"/>
      <c r="C18" s="361"/>
      <c r="D18" s="361"/>
      <c r="E18" s="22"/>
      <c r="F18" s="22"/>
      <c r="G18" s="22"/>
      <c r="H18" s="2"/>
      <c r="I18" s="2"/>
    </row>
    <row r="19" spans="1:34">
      <c r="A19" s="77">
        <v>3</v>
      </c>
      <c r="B19" s="361" t="s">
        <v>829</v>
      </c>
      <c r="C19" s="361"/>
      <c r="D19" s="361"/>
      <c r="E19" s="727">
        <f>+E15-E17</f>
        <v>24291298.311597068</v>
      </c>
      <c r="F19" s="727">
        <f>+F15-F17</f>
        <v>4376432.8558694832</v>
      </c>
      <c r="G19" s="727">
        <f>+G15-G17</f>
        <v>28667731.167466551</v>
      </c>
      <c r="H19" s="2"/>
      <c r="I19" s="2"/>
    </row>
    <row r="20" spans="1:34">
      <c r="A20" s="77"/>
      <c r="B20" s="361"/>
      <c r="C20" s="361"/>
      <c r="D20" s="361"/>
      <c r="E20" s="22"/>
      <c r="F20" s="22"/>
      <c r="G20" s="22"/>
      <c r="H20" s="2"/>
      <c r="I20" s="2"/>
    </row>
    <row r="21" spans="1:34">
      <c r="A21" s="77">
        <v>4</v>
      </c>
      <c r="B21" s="361" t="s">
        <v>157</v>
      </c>
      <c r="C21" s="361"/>
      <c r="D21" s="361"/>
      <c r="E21" s="217">
        <f>0.06+0.35*(1-0.06)</f>
        <v>0.38899999999999996</v>
      </c>
      <c r="F21" s="217"/>
      <c r="G21" s="217">
        <f>Allocation!E23</f>
        <v>0.38900000000000001</v>
      </c>
      <c r="H21" s="2" t="s">
        <v>515</v>
      </c>
      <c r="I21" s="2"/>
    </row>
    <row r="22" spans="1:34">
      <c r="A22" s="77"/>
      <c r="B22" s="361"/>
      <c r="C22" s="361"/>
      <c r="D22" s="361"/>
      <c r="E22" s="22"/>
      <c r="F22" s="22"/>
      <c r="G22" s="22"/>
      <c r="H22" s="2"/>
      <c r="I22" s="2"/>
    </row>
    <row r="23" spans="1:34" ht="15.75" thickBot="1">
      <c r="A23" s="77">
        <v>5</v>
      </c>
      <c r="B23" s="534" t="s">
        <v>1169</v>
      </c>
      <c r="C23" s="361"/>
      <c r="D23" s="361"/>
      <c r="E23" s="728">
        <f>+E19*E21</f>
        <v>9449315.0432112589</v>
      </c>
      <c r="F23" s="728">
        <f>+G23-E23</f>
        <v>1702432.3809332289</v>
      </c>
      <c r="G23" s="1167">
        <f>+G19*G21</f>
        <v>11151747.424144488</v>
      </c>
      <c r="H23" s="2"/>
      <c r="I23" s="2"/>
    </row>
    <row r="24" spans="1:34" ht="16.5" thickTop="1">
      <c r="A24" s="77"/>
      <c r="B24" s="534"/>
      <c r="C24" s="361"/>
      <c r="D24" s="361"/>
      <c r="E24" s="98"/>
      <c r="F24" s="22"/>
      <c r="G24" s="219"/>
      <c r="H24" s="2"/>
      <c r="I24" s="2"/>
    </row>
    <row r="25" spans="1:34" ht="15.75">
      <c r="A25" s="77"/>
      <c r="B25" s="218"/>
      <c r="E25" s="98"/>
      <c r="F25" s="22"/>
      <c r="G25" s="219"/>
      <c r="H25" s="2"/>
      <c r="I25" s="2"/>
    </row>
    <row r="26" spans="1:34">
      <c r="A26" s="77"/>
      <c r="E26" s="22"/>
      <c r="F26" s="22"/>
      <c r="G26" s="22"/>
      <c r="H26" s="2"/>
      <c r="I26" s="2"/>
    </row>
    <row r="27" spans="1:34">
      <c r="A27" s="77"/>
      <c r="B27" s="220" t="s">
        <v>1170</v>
      </c>
      <c r="E27" s="22"/>
      <c r="F27" s="22"/>
      <c r="G27" s="22"/>
      <c r="H27" s="2"/>
      <c r="I27" s="2"/>
    </row>
    <row r="28" spans="1:34" s="1" customFormat="1">
      <c r="A28" s="77">
        <v>6</v>
      </c>
      <c r="B28" s="213" t="s">
        <v>22</v>
      </c>
      <c r="E28" s="729">
        <f>+'B.1 B'!F27</f>
        <v>295969027.76444441</v>
      </c>
      <c r="F28" s="212"/>
      <c r="G28" s="730">
        <f>+'B.1 F '!F27</f>
        <v>335042110.48015654</v>
      </c>
      <c r="H28" s="77" t="s">
        <v>377</v>
      </c>
      <c r="J28" s="55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s="1" customFormat="1">
      <c r="A29" s="77"/>
      <c r="J29" s="55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s="1" customFormat="1">
      <c r="A30" s="77">
        <v>7</v>
      </c>
      <c r="B30" s="213" t="s">
        <v>146</v>
      </c>
      <c r="E30" s="215">
        <f>J.1!N21</f>
        <v>2.4360187908504038E-2</v>
      </c>
      <c r="G30" s="215">
        <f>J.1!V21</f>
        <v>2.3099999999999999E-2</v>
      </c>
      <c r="H30" s="77" t="s">
        <v>1155</v>
      </c>
      <c r="I30" s="919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1" customFormat="1">
      <c r="A31" s="77"/>
      <c r="I31" s="771"/>
      <c r="J31" s="5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s="1" customFormat="1" ht="15.75" thickBot="1">
      <c r="A32" s="77">
        <v>8</v>
      </c>
      <c r="B32" s="214" t="s">
        <v>1074</v>
      </c>
      <c r="E32" s="429">
        <f>+E28*E30</f>
        <v>7209861.1314391149</v>
      </c>
      <c r="G32" s="429">
        <f>+G28*G30</f>
        <v>7739472.7520916155</v>
      </c>
      <c r="J32" s="55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1:34" s="1" customFormat="1" ht="15.75" thickTop="1">
      <c r="A33" s="77"/>
      <c r="J33" s="55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</row>
    <row r="34" spans="1:34" s="1" customFormat="1">
      <c r="A34" s="77"/>
      <c r="B34" s="107"/>
      <c r="C34" s="107"/>
      <c r="D34" s="107"/>
      <c r="E34" s="107"/>
      <c r="F34" s="107"/>
      <c r="J34" s="55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</row>
    <row r="35" spans="1:34" s="1" customFormat="1">
      <c r="A35" s="77">
        <v>9</v>
      </c>
      <c r="B35" s="869" t="s">
        <v>1400</v>
      </c>
      <c r="C35" s="107"/>
      <c r="D35" s="107"/>
      <c r="E35" s="107"/>
      <c r="F35" s="107"/>
      <c r="I35" s="920"/>
      <c r="J35" s="919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1:34">
      <c r="A36" s="77">
        <v>10</v>
      </c>
      <c r="B36" s="866" t="s">
        <v>1171</v>
      </c>
      <c r="C36" s="867"/>
      <c r="D36" s="867"/>
      <c r="E36" s="868">
        <v>0.06</v>
      </c>
      <c r="F36" s="867"/>
      <c r="I36" s="920"/>
      <c r="J36" s="919"/>
    </row>
    <row r="37" spans="1:34">
      <c r="A37" s="77">
        <v>11</v>
      </c>
      <c r="B37" s="866" t="s">
        <v>1172</v>
      </c>
      <c r="C37" s="867"/>
      <c r="D37" s="867"/>
      <c r="E37" s="868">
        <v>0.35</v>
      </c>
      <c r="F37" s="867"/>
      <c r="I37" s="920"/>
      <c r="J37" s="919"/>
    </row>
    <row r="38" spans="1:34">
      <c r="B38" s="867"/>
      <c r="C38" s="867"/>
      <c r="D38" s="867"/>
      <c r="E38" s="868"/>
      <c r="F38" s="867"/>
      <c r="I38" s="919"/>
      <c r="J38" s="919"/>
    </row>
    <row r="39" spans="1:34">
      <c r="E39" s="221"/>
    </row>
    <row r="40" spans="1:34">
      <c r="E40" s="221"/>
    </row>
    <row r="41" spans="1:34">
      <c r="G41" s="921"/>
    </row>
    <row r="43" spans="1:34">
      <c r="E43" s="221"/>
    </row>
  </sheetData>
  <mergeCells count="5">
    <mergeCell ref="A2:H2"/>
    <mergeCell ref="A3:H3"/>
    <mergeCell ref="A4:H4"/>
    <mergeCell ref="A5:H5"/>
    <mergeCell ref="A1:H1"/>
  </mergeCells>
  <phoneticPr fontId="24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C33" sqref="C33"/>
    </sheetView>
  </sheetViews>
  <sheetFormatPr defaultRowHeight="15"/>
  <cols>
    <col min="3" max="3" width="45.44140625" customWidth="1"/>
  </cols>
  <sheetData>
    <row r="1" spans="1:3">
      <c r="A1" s="1241" t="str">
        <f>'Table of Contents'!A1:C1</f>
        <v>Atmos Energy Corporation, Kentucky/Mid-States Division</v>
      </c>
      <c r="B1" s="1241"/>
      <c r="C1" s="1241"/>
    </row>
    <row r="2" spans="1:3">
      <c r="A2" s="1241" t="str">
        <f>'Table of Contents'!A2:C2</f>
        <v>Kentucky Jurisdiction Case No. 2015-00343</v>
      </c>
      <c r="B2" s="1241"/>
      <c r="C2" s="1241"/>
    </row>
    <row r="3" spans="1:3">
      <c r="A3" s="1241" t="str">
        <f>'Table of Contents'!A3:C3</f>
        <v>Base Period: Twelve Months Ended February 29, 2016</v>
      </c>
      <c r="B3" s="1241"/>
      <c r="C3" s="1241"/>
    </row>
    <row r="4" spans="1:3">
      <c r="A4" s="1241" t="str">
        <f>'Table of Contents'!A4:C4</f>
        <v>Forecasted Test Period: Twelve Months Ended May 31, 2017</v>
      </c>
      <c r="B4" s="1241"/>
      <c r="C4" s="1241"/>
    </row>
    <row r="11" spans="1:3">
      <c r="A11" s="1241" t="s">
        <v>1532</v>
      </c>
      <c r="B11" s="1241"/>
      <c r="C11" s="1241"/>
    </row>
    <row r="13" spans="1:3">
      <c r="A13" s="1241"/>
      <c r="B13" s="1241"/>
      <c r="C13" s="1241"/>
    </row>
    <row r="16" spans="1:3">
      <c r="A16" s="84" t="s">
        <v>63</v>
      </c>
      <c r="B16" s="84"/>
      <c r="C16" s="84" t="s">
        <v>1004</v>
      </c>
    </row>
    <row r="18" spans="1:3">
      <c r="A18" t="s">
        <v>561</v>
      </c>
      <c r="B18" s="241"/>
      <c r="C18" t="s">
        <v>562</v>
      </c>
    </row>
    <row r="19" spans="1:3">
      <c r="A19" t="s">
        <v>563</v>
      </c>
      <c r="B19" s="241"/>
      <c r="C19" t="s">
        <v>564</v>
      </c>
    </row>
    <row r="20" spans="1:3">
      <c r="A20" t="s">
        <v>516</v>
      </c>
      <c r="B20" s="241"/>
      <c r="C20" t="s">
        <v>565</v>
      </c>
    </row>
    <row r="21" spans="1:3">
      <c r="A21" t="s">
        <v>566</v>
      </c>
      <c r="B21" s="241"/>
      <c r="C21" t="s">
        <v>567</v>
      </c>
    </row>
    <row r="22" spans="1:3">
      <c r="A22" t="s">
        <v>517</v>
      </c>
      <c r="B22" s="241"/>
      <c r="C22" t="s">
        <v>568</v>
      </c>
    </row>
    <row r="23" spans="1:3">
      <c r="A23" t="s">
        <v>569</v>
      </c>
      <c r="B23" s="241"/>
      <c r="C23" t="s">
        <v>973</v>
      </c>
    </row>
    <row r="24" spans="1:3">
      <c r="A24" t="s">
        <v>570</v>
      </c>
      <c r="B24" s="241"/>
      <c r="C24" t="s">
        <v>571</v>
      </c>
    </row>
    <row r="25" spans="1:3">
      <c r="A25" t="s">
        <v>572</v>
      </c>
      <c r="B25" s="241"/>
      <c r="C25" t="s">
        <v>225</v>
      </c>
    </row>
    <row r="26" spans="1:3">
      <c r="A26" t="s">
        <v>573</v>
      </c>
      <c r="B26" s="241"/>
      <c r="C26" t="s">
        <v>574</v>
      </c>
    </row>
    <row r="27" spans="1:3">
      <c r="A27" t="s">
        <v>991</v>
      </c>
      <c r="B27" s="241"/>
      <c r="C27" t="s">
        <v>575</v>
      </c>
    </row>
    <row r="28" spans="1:3">
      <c r="A28" t="s">
        <v>1341</v>
      </c>
      <c r="B28" s="900"/>
      <c r="C28" t="s">
        <v>1342</v>
      </c>
    </row>
    <row r="29" spans="1:3">
      <c r="A29" t="s">
        <v>1428</v>
      </c>
      <c r="B29" s="1123"/>
      <c r="C29" t="s">
        <v>1616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4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48"/>
  <sheetViews>
    <sheetView view="pageBreakPreview" zoomScale="60" zoomScaleNormal="90" workbookViewId="0">
      <pane ySplit="11" topLeftCell="A105" activePane="bottomLeft" state="frozen"/>
      <selection activeCell="G39" sqref="G39"/>
      <selection pane="bottomLeft" activeCell="G39" sqref="G39"/>
    </sheetView>
  </sheetViews>
  <sheetFormatPr defaultColWidth="11.21875" defaultRowHeight="15"/>
  <cols>
    <col min="1" max="1" width="4.6640625" style="593" customWidth="1"/>
    <col min="2" max="2" width="9.5546875" style="593" customWidth="1"/>
    <col min="3" max="3" width="56.5546875" style="593" customWidth="1"/>
    <col min="4" max="4" width="10.6640625" style="593" customWidth="1"/>
    <col min="5" max="5" width="13.5546875" style="593" customWidth="1"/>
    <col min="6" max="6" width="11.6640625" style="593" customWidth="1"/>
    <col min="7" max="7" width="3.6640625" style="593" customWidth="1"/>
    <col min="8" max="8" width="7.6640625" style="593" customWidth="1"/>
    <col min="9" max="9" width="4.6640625" style="593" customWidth="1"/>
    <col min="10" max="10" width="23.6640625" style="593" customWidth="1"/>
    <col min="11" max="12" width="10.6640625" style="593" customWidth="1"/>
    <col min="13" max="13" width="11.6640625" style="593" customWidth="1"/>
    <col min="14" max="14" width="10.6640625" style="593" customWidth="1"/>
    <col min="15" max="15" width="9.6640625" style="593" customWidth="1"/>
    <col min="16" max="16" width="14.6640625" style="593" customWidth="1"/>
    <col min="17" max="17" width="5.6640625" style="593" customWidth="1"/>
    <col min="18" max="18" width="4.6640625" style="593" customWidth="1"/>
    <col min="19" max="19" width="9.6640625" style="593" customWidth="1"/>
    <col min="20" max="20" width="20.6640625" style="593" customWidth="1"/>
    <col min="21" max="21" width="9.6640625" style="593" customWidth="1"/>
    <col min="22" max="22" width="15.6640625" style="593" customWidth="1"/>
    <col min="23" max="23" width="9.6640625" style="593" customWidth="1"/>
    <col min="24" max="24" width="6.6640625" style="593" customWidth="1"/>
    <col min="25" max="25" width="9.6640625" style="593" customWidth="1"/>
    <col min="26" max="26" width="16.6640625" style="593" customWidth="1"/>
    <col min="27" max="27" width="9.6640625" style="593" customWidth="1"/>
    <col min="28" max="28" width="5.6640625" style="593" customWidth="1"/>
    <col min="29" max="29" width="10.6640625" style="593" customWidth="1"/>
    <col min="30" max="30" width="19.6640625" style="593" customWidth="1"/>
    <col min="31" max="31" width="9.6640625" style="593" customWidth="1"/>
    <col min="32" max="32" width="16.6640625" style="593" customWidth="1"/>
    <col min="33" max="33" width="11.21875" style="593"/>
    <col min="34" max="34" width="5.6640625" style="593" customWidth="1"/>
    <col min="35" max="35" width="10.6640625" style="593" customWidth="1"/>
    <col min="36" max="36" width="17.6640625" style="593" customWidth="1"/>
    <col min="37" max="37" width="10.6640625" style="593" customWidth="1"/>
    <col min="38" max="38" width="24.6640625" style="593" customWidth="1"/>
    <col min="39" max="40" width="9.6640625" style="593" customWidth="1"/>
    <col min="41" max="41" width="11.6640625" style="593" customWidth="1"/>
    <col min="42" max="43" width="9.6640625" style="593" customWidth="1"/>
    <col min="44" max="44" width="13.6640625" style="593" customWidth="1"/>
    <col min="45" max="45" width="19.6640625" style="593" customWidth="1"/>
    <col min="46" max="46" width="14.6640625" style="593" customWidth="1"/>
    <col min="47" max="50" width="11.21875" style="593"/>
    <col min="51" max="51" width="9.6640625" style="593" customWidth="1"/>
    <col min="52" max="52" width="14.6640625" style="593" customWidth="1"/>
    <col min="53" max="54" width="11.21875" style="593"/>
    <col min="55" max="55" width="12.6640625" style="593" customWidth="1"/>
    <col min="56" max="56" width="10.6640625" style="593" customWidth="1"/>
    <col min="57" max="16384" width="11.21875" style="593"/>
  </cols>
  <sheetData>
    <row r="1" spans="1:7" ht="15.75" customHeight="1">
      <c r="A1" s="1263" t="str">
        <f>'Table of Contents'!A1:C1</f>
        <v>Atmos Energy Corporation, Kentucky/Mid-States Division</v>
      </c>
      <c r="B1" s="1263"/>
      <c r="C1" s="1263"/>
      <c r="D1" s="1263"/>
      <c r="E1" s="1263"/>
      <c r="F1" s="1263"/>
    </row>
    <row r="2" spans="1:7" ht="15.75">
      <c r="A2" s="1263" t="str">
        <f>'Table of Contents'!A2:C2</f>
        <v>Kentucky Jurisdiction Case No. 2015-00343</v>
      </c>
      <c r="B2" s="1263"/>
      <c r="C2" s="1263"/>
      <c r="D2" s="1263"/>
      <c r="E2" s="1263"/>
      <c r="F2" s="1263"/>
    </row>
    <row r="3" spans="1:7" ht="15.75">
      <c r="A3" s="1263" t="s">
        <v>438</v>
      </c>
      <c r="B3" s="1263"/>
      <c r="C3" s="1263"/>
      <c r="D3" s="1263"/>
      <c r="E3" s="1263"/>
      <c r="F3" s="1263"/>
    </row>
    <row r="4" spans="1:7" ht="15.75">
      <c r="A4" s="1263" t="str">
        <f>'Table of Contents'!A3:C3</f>
        <v>Base Period: Twelve Months Ended February 29, 2016</v>
      </c>
      <c r="B4" s="1263"/>
      <c r="C4" s="1263"/>
      <c r="D4" s="1263"/>
      <c r="E4" s="1263"/>
      <c r="F4" s="1263"/>
    </row>
    <row r="5" spans="1:7" ht="15.75">
      <c r="A5" s="1263" t="str">
        <f>'Table of Contents'!A4:C4</f>
        <v>Forecasted Test Period: Twelve Months Ended May 31, 2017</v>
      </c>
      <c r="B5" s="1263"/>
      <c r="C5" s="1263"/>
      <c r="D5" s="1263"/>
      <c r="E5" s="1263"/>
      <c r="F5" s="1263"/>
    </row>
    <row r="7" spans="1:7" ht="15.75">
      <c r="A7" s="731" t="s">
        <v>820</v>
      </c>
      <c r="B7" s="594"/>
      <c r="F7" s="732" t="s">
        <v>1504</v>
      </c>
    </row>
    <row r="8" spans="1:7" ht="15.75">
      <c r="A8" s="731" t="s">
        <v>1143</v>
      </c>
      <c r="B8" s="594"/>
      <c r="F8" s="733" t="s">
        <v>179</v>
      </c>
    </row>
    <row r="9" spans="1:7" ht="15.75">
      <c r="A9" s="731" t="s">
        <v>440</v>
      </c>
      <c r="B9" s="594"/>
      <c r="F9" s="734" t="s">
        <v>1392</v>
      </c>
    </row>
    <row r="10" spans="1:7">
      <c r="A10" s="598" t="s">
        <v>98</v>
      </c>
      <c r="B10" s="599"/>
      <c r="C10" s="599"/>
      <c r="D10" s="598" t="s">
        <v>101</v>
      </c>
      <c r="E10" s="599"/>
      <c r="F10" s="599"/>
      <c r="G10" s="597"/>
    </row>
    <row r="11" spans="1:7">
      <c r="A11" s="600" t="s">
        <v>104</v>
      </c>
      <c r="B11" s="600" t="s">
        <v>180</v>
      </c>
      <c r="C11" s="600" t="s">
        <v>181</v>
      </c>
      <c r="D11" s="600" t="s">
        <v>609</v>
      </c>
      <c r="E11" s="600" t="s">
        <v>182</v>
      </c>
      <c r="F11" s="600" t="s">
        <v>610</v>
      </c>
      <c r="G11" s="597"/>
    </row>
    <row r="12" spans="1:7">
      <c r="A12" s="609"/>
      <c r="B12" s="609"/>
      <c r="C12" s="609"/>
      <c r="D12" s="609"/>
      <c r="E12" s="609"/>
      <c r="F12" s="609"/>
      <c r="G12" s="597"/>
    </row>
    <row r="13" spans="1:7" ht="15.75">
      <c r="A13" s="609"/>
      <c r="C13" s="611" t="s">
        <v>822</v>
      </c>
      <c r="D13" s="609"/>
      <c r="E13" s="609"/>
      <c r="F13" s="609"/>
      <c r="G13" s="597"/>
    </row>
    <row r="14" spans="1:7">
      <c r="G14" s="597"/>
    </row>
    <row r="15" spans="1:7">
      <c r="A15" s="601">
        <v>1</v>
      </c>
      <c r="B15" s="602" t="s">
        <v>640</v>
      </c>
      <c r="C15" s="1073" t="s">
        <v>1466</v>
      </c>
      <c r="D15" s="1032">
        <f>[17]F.1!D15</f>
        <v>-312</v>
      </c>
      <c r="E15" s="603" t="s">
        <v>1079</v>
      </c>
      <c r="F15" s="601">
        <f t="shared" ref="F15:F36" si="0">D15</f>
        <v>-312</v>
      </c>
    </row>
    <row r="16" spans="1:7">
      <c r="A16" s="601">
        <f t="shared" ref="A16:A31" si="1">A15+1</f>
        <v>2</v>
      </c>
      <c r="B16" s="602" t="s">
        <v>640</v>
      </c>
      <c r="C16" s="1034" t="s">
        <v>1263</v>
      </c>
      <c r="D16" s="1032">
        <f>[17]F.1!D16</f>
        <v>400</v>
      </c>
      <c r="E16" s="252"/>
      <c r="F16" s="601">
        <f t="shared" si="0"/>
        <v>400</v>
      </c>
    </row>
    <row r="17" spans="1:6">
      <c r="A17" s="601">
        <f t="shared" si="1"/>
        <v>3</v>
      </c>
      <c r="B17" s="602" t="s">
        <v>640</v>
      </c>
      <c r="C17" s="1034" t="s">
        <v>1467</v>
      </c>
      <c r="D17" s="1032">
        <f>[17]F.1!D17</f>
        <v>7500</v>
      </c>
      <c r="E17" s="252"/>
      <c r="F17" s="601">
        <f t="shared" si="0"/>
        <v>7500</v>
      </c>
    </row>
    <row r="18" spans="1:6">
      <c r="A18" s="601">
        <f t="shared" si="1"/>
        <v>4</v>
      </c>
      <c r="B18" s="602" t="s">
        <v>640</v>
      </c>
      <c r="C18" s="1034" t="s">
        <v>1264</v>
      </c>
      <c r="D18" s="1032">
        <f>[17]F.1!D18</f>
        <v>125</v>
      </c>
      <c r="E18" s="252"/>
      <c r="F18" s="601">
        <f t="shared" si="0"/>
        <v>125</v>
      </c>
    </row>
    <row r="19" spans="1:6">
      <c r="A19" s="601">
        <f t="shared" si="1"/>
        <v>5</v>
      </c>
      <c r="B19" s="602" t="s">
        <v>640</v>
      </c>
      <c r="C19" s="1034" t="s">
        <v>1468</v>
      </c>
      <c r="D19" s="1032">
        <f>[17]F.1!D19</f>
        <v>405</v>
      </c>
      <c r="E19" s="252"/>
      <c r="F19" s="601">
        <f t="shared" si="0"/>
        <v>405</v>
      </c>
    </row>
    <row r="20" spans="1:6">
      <c r="A20" s="601">
        <f t="shared" si="1"/>
        <v>6</v>
      </c>
      <c r="B20" s="602" t="s">
        <v>640</v>
      </c>
      <c r="C20" s="1034" t="s">
        <v>1265</v>
      </c>
      <c r="D20" s="1032">
        <f>[17]F.1!D20</f>
        <v>500</v>
      </c>
      <c r="E20" s="252"/>
      <c r="F20" s="601">
        <f t="shared" si="0"/>
        <v>500</v>
      </c>
    </row>
    <row r="21" spans="1:6">
      <c r="A21" s="601">
        <f t="shared" si="1"/>
        <v>7</v>
      </c>
      <c r="B21" s="602" t="s">
        <v>640</v>
      </c>
      <c r="C21" s="1034" t="s">
        <v>1266</v>
      </c>
      <c r="D21" s="1032">
        <f>[17]F.1!D21</f>
        <v>100</v>
      </c>
      <c r="E21" s="252"/>
      <c r="F21" s="601">
        <f t="shared" si="0"/>
        <v>100</v>
      </c>
    </row>
    <row r="22" spans="1:6">
      <c r="A22" s="601">
        <f t="shared" si="1"/>
        <v>8</v>
      </c>
      <c r="B22" s="602" t="s">
        <v>640</v>
      </c>
      <c r="C22" s="1030" t="s">
        <v>1267</v>
      </c>
      <c r="D22" s="1032">
        <f>[17]F.1!D22</f>
        <v>300</v>
      </c>
      <c r="E22" s="252"/>
      <c r="F22" s="601">
        <f t="shared" si="0"/>
        <v>300</v>
      </c>
    </row>
    <row r="23" spans="1:6">
      <c r="A23" s="601">
        <f t="shared" si="1"/>
        <v>9</v>
      </c>
      <c r="B23" s="602" t="s">
        <v>640</v>
      </c>
      <c r="C23" s="1034" t="s">
        <v>1469</v>
      </c>
      <c r="D23" s="1032">
        <f>[17]F.1!D23</f>
        <v>2000</v>
      </c>
      <c r="E23" s="252"/>
      <c r="F23" s="601">
        <f t="shared" si="0"/>
        <v>2000</v>
      </c>
    </row>
    <row r="24" spans="1:6">
      <c r="A24" s="601">
        <f t="shared" si="1"/>
        <v>10</v>
      </c>
      <c r="B24" s="602" t="s">
        <v>640</v>
      </c>
      <c r="C24" s="1034" t="s">
        <v>1470</v>
      </c>
      <c r="D24" s="1032">
        <f>[17]F.1!D24</f>
        <v>1248.08</v>
      </c>
      <c r="E24" s="252"/>
      <c r="F24" s="601">
        <f t="shared" si="0"/>
        <v>1248.08</v>
      </c>
    </row>
    <row r="25" spans="1:6">
      <c r="A25" s="601">
        <f t="shared" si="1"/>
        <v>11</v>
      </c>
      <c r="B25" s="602" t="s">
        <v>640</v>
      </c>
      <c r="C25" s="1034" t="s">
        <v>1268</v>
      </c>
      <c r="D25" s="1032">
        <f>[17]F.1!D25</f>
        <v>525</v>
      </c>
      <c r="E25" s="252"/>
      <c r="F25" s="601">
        <f t="shared" si="0"/>
        <v>525</v>
      </c>
    </row>
    <row r="26" spans="1:6">
      <c r="A26" s="601">
        <f t="shared" si="1"/>
        <v>12</v>
      </c>
      <c r="B26" s="602" t="s">
        <v>640</v>
      </c>
      <c r="C26" s="1034" t="s">
        <v>1269</v>
      </c>
      <c r="D26" s="1032">
        <f>[17]F.1!D26</f>
        <v>500</v>
      </c>
      <c r="E26" s="252"/>
      <c r="F26" s="601">
        <f t="shared" si="0"/>
        <v>500</v>
      </c>
    </row>
    <row r="27" spans="1:6">
      <c r="A27" s="601">
        <f t="shared" si="1"/>
        <v>13</v>
      </c>
      <c r="B27" s="602" t="s">
        <v>640</v>
      </c>
      <c r="C27" s="1034" t="s">
        <v>1270</v>
      </c>
      <c r="D27" s="1032">
        <f>[17]F.1!D27</f>
        <v>325</v>
      </c>
      <c r="E27" s="252"/>
      <c r="F27" s="601">
        <f t="shared" si="0"/>
        <v>325</v>
      </c>
    </row>
    <row r="28" spans="1:6">
      <c r="A28" s="601">
        <f t="shared" si="1"/>
        <v>14</v>
      </c>
      <c r="B28" s="602" t="s">
        <v>640</v>
      </c>
      <c r="C28" s="1034" t="s">
        <v>1471</v>
      </c>
      <c r="D28" s="1032">
        <f>[17]F.1!D28</f>
        <v>300</v>
      </c>
      <c r="E28" s="252"/>
      <c r="F28" s="601">
        <f t="shared" si="0"/>
        <v>300</v>
      </c>
    </row>
    <row r="29" spans="1:6">
      <c r="A29" s="601">
        <f t="shared" si="1"/>
        <v>15</v>
      </c>
      <c r="B29" s="602" t="s">
        <v>640</v>
      </c>
      <c r="C29" s="1034" t="s">
        <v>1472</v>
      </c>
      <c r="D29" s="1032">
        <f>[17]F.1!D29</f>
        <v>300</v>
      </c>
      <c r="E29" s="252"/>
      <c r="F29" s="601">
        <f t="shared" si="0"/>
        <v>300</v>
      </c>
    </row>
    <row r="30" spans="1:6">
      <c r="A30" s="601">
        <f t="shared" si="1"/>
        <v>16</v>
      </c>
      <c r="B30" s="602" t="s">
        <v>640</v>
      </c>
      <c r="C30" s="1034" t="s">
        <v>1271</v>
      </c>
      <c r="D30" s="1032">
        <f>[17]F.1!D30</f>
        <v>4125</v>
      </c>
      <c r="E30" s="252"/>
      <c r="F30" s="601">
        <f t="shared" si="0"/>
        <v>4125</v>
      </c>
    </row>
    <row r="31" spans="1:6">
      <c r="A31" s="601">
        <f t="shared" si="1"/>
        <v>17</v>
      </c>
      <c r="B31" s="602" t="s">
        <v>640</v>
      </c>
      <c r="C31" s="1034" t="s">
        <v>1272</v>
      </c>
      <c r="D31" s="1032">
        <f>[17]F.1!D31</f>
        <v>100</v>
      </c>
      <c r="E31" s="252"/>
      <c r="F31" s="601">
        <f t="shared" si="0"/>
        <v>100</v>
      </c>
    </row>
    <row r="32" spans="1:6">
      <c r="A32" s="601">
        <v>18</v>
      </c>
      <c r="B32" s="602" t="s">
        <v>640</v>
      </c>
      <c r="C32" s="1034" t="s">
        <v>1273</v>
      </c>
      <c r="D32" s="1032">
        <f>[17]F.1!D32</f>
        <v>175</v>
      </c>
      <c r="E32" s="252"/>
      <c r="F32" s="601">
        <f t="shared" si="0"/>
        <v>175</v>
      </c>
    </row>
    <row r="33" spans="1:6">
      <c r="A33" s="601">
        <f>A32+1</f>
        <v>19</v>
      </c>
      <c r="B33" s="602" t="s">
        <v>640</v>
      </c>
      <c r="C33" s="1034" t="s">
        <v>1274</v>
      </c>
      <c r="D33" s="1032">
        <f>[17]F.1!D33</f>
        <v>760</v>
      </c>
      <c r="E33" s="252"/>
      <c r="F33" s="601">
        <f t="shared" si="0"/>
        <v>760</v>
      </c>
    </row>
    <row r="34" spans="1:6">
      <c r="A34" s="601">
        <f>A33+1</f>
        <v>20</v>
      </c>
      <c r="B34" s="602" t="s">
        <v>640</v>
      </c>
      <c r="C34" s="1034" t="s">
        <v>1473</v>
      </c>
      <c r="D34" s="1032">
        <f>[17]F.1!D34</f>
        <v>10000</v>
      </c>
      <c r="E34" s="252"/>
      <c r="F34" s="601">
        <f t="shared" si="0"/>
        <v>10000</v>
      </c>
    </row>
    <row r="35" spans="1:6">
      <c r="A35" s="601">
        <f>A34+1</f>
        <v>21</v>
      </c>
      <c r="B35" s="602" t="s">
        <v>640</v>
      </c>
      <c r="C35" s="1033" t="s">
        <v>1275</v>
      </c>
      <c r="D35" s="1032">
        <f>[17]F.1!D35</f>
        <v>200</v>
      </c>
      <c r="E35" s="252"/>
      <c r="F35" s="601">
        <f t="shared" si="0"/>
        <v>200</v>
      </c>
    </row>
    <row r="36" spans="1:6">
      <c r="A36" s="601">
        <f>A35+1</f>
        <v>22</v>
      </c>
      <c r="B36" s="602" t="s">
        <v>640</v>
      </c>
      <c r="C36" s="1033" t="s">
        <v>1276</v>
      </c>
      <c r="D36" s="1032">
        <f>[17]F.1!D36</f>
        <v>200</v>
      </c>
      <c r="E36" s="252"/>
      <c r="F36" s="601">
        <f t="shared" si="0"/>
        <v>200</v>
      </c>
    </row>
    <row r="37" spans="1:6">
      <c r="A37" s="601">
        <v>23</v>
      </c>
      <c r="B37" s="602" t="s">
        <v>640</v>
      </c>
      <c r="C37" s="1033" t="s">
        <v>1277</v>
      </c>
      <c r="D37" s="1032">
        <f>[17]F.1!D37</f>
        <v>295</v>
      </c>
      <c r="E37" s="603"/>
      <c r="F37" s="601">
        <f t="shared" ref="F37:F58" si="2">D37</f>
        <v>295</v>
      </c>
    </row>
    <row r="38" spans="1:6">
      <c r="A38" s="601">
        <f t="shared" ref="A38:A58" si="3">A37+1</f>
        <v>24</v>
      </c>
      <c r="B38" s="602" t="s">
        <v>640</v>
      </c>
      <c r="C38" s="1033" t="s">
        <v>1474</v>
      </c>
      <c r="D38" s="1032">
        <f>[17]F.1!D38</f>
        <v>500</v>
      </c>
      <c r="F38" s="601">
        <f t="shared" si="2"/>
        <v>500</v>
      </c>
    </row>
    <row r="39" spans="1:6">
      <c r="A39" s="601">
        <f t="shared" si="3"/>
        <v>25</v>
      </c>
      <c r="B39" s="602" t="s">
        <v>640</v>
      </c>
      <c r="C39" s="1033" t="s">
        <v>1278</v>
      </c>
      <c r="D39" s="1032">
        <f>[17]F.1!D39</f>
        <v>1540</v>
      </c>
      <c r="F39" s="601">
        <f t="shared" si="2"/>
        <v>1540</v>
      </c>
    </row>
    <row r="40" spans="1:6">
      <c r="A40" s="601">
        <f t="shared" si="3"/>
        <v>26</v>
      </c>
      <c r="B40" s="602" t="s">
        <v>640</v>
      </c>
      <c r="C40" s="1033" t="s">
        <v>1475</v>
      </c>
      <c r="D40" s="1032">
        <f>[17]F.1!D40</f>
        <v>11600</v>
      </c>
      <c r="F40" s="601">
        <f t="shared" si="2"/>
        <v>11600</v>
      </c>
    </row>
    <row r="41" spans="1:6">
      <c r="A41" s="601">
        <f t="shared" si="3"/>
        <v>27</v>
      </c>
      <c r="B41" s="602" t="s">
        <v>640</v>
      </c>
      <c r="C41" s="1033" t="s">
        <v>1476</v>
      </c>
      <c r="D41" s="1032">
        <f>[17]F.1!D41</f>
        <v>3000</v>
      </c>
      <c r="E41" s="595" t="s">
        <v>332</v>
      </c>
      <c r="F41" s="601">
        <f t="shared" si="2"/>
        <v>3000</v>
      </c>
    </row>
    <row r="42" spans="1:6">
      <c r="A42" s="601">
        <f t="shared" si="3"/>
        <v>28</v>
      </c>
      <c r="B42" s="602" t="s">
        <v>640</v>
      </c>
      <c r="C42" s="1033" t="s">
        <v>1279</v>
      </c>
      <c r="D42" s="1032">
        <f>[17]F.1!D42</f>
        <v>10950</v>
      </c>
      <c r="F42" s="601">
        <f t="shared" si="2"/>
        <v>10950</v>
      </c>
    </row>
    <row r="43" spans="1:6">
      <c r="A43" s="601">
        <f t="shared" si="3"/>
        <v>29</v>
      </c>
      <c r="B43" s="602" t="s">
        <v>640</v>
      </c>
      <c r="C43" s="1033" t="s">
        <v>1477</v>
      </c>
      <c r="D43" s="1032">
        <f>[17]F.1!D43</f>
        <v>500</v>
      </c>
      <c r="F43" s="601">
        <f t="shared" si="2"/>
        <v>500</v>
      </c>
    </row>
    <row r="44" spans="1:6">
      <c r="A44" s="601">
        <f t="shared" si="3"/>
        <v>30</v>
      </c>
      <c r="B44" s="602" t="s">
        <v>640</v>
      </c>
      <c r="C44" s="1033" t="s">
        <v>1478</v>
      </c>
      <c r="D44" s="1032">
        <f>[17]F.1!D44</f>
        <v>1000</v>
      </c>
      <c r="F44" s="601">
        <f t="shared" si="2"/>
        <v>1000</v>
      </c>
    </row>
    <row r="45" spans="1:6">
      <c r="A45" s="601">
        <f t="shared" si="3"/>
        <v>31</v>
      </c>
      <c r="B45" s="602" t="s">
        <v>640</v>
      </c>
      <c r="C45" s="1033" t="s">
        <v>1479</v>
      </c>
      <c r="D45" s="1032">
        <f>[17]F.1!D45</f>
        <v>125</v>
      </c>
      <c r="F45" s="601">
        <f t="shared" si="2"/>
        <v>125</v>
      </c>
    </row>
    <row r="46" spans="1:6">
      <c r="A46" s="601">
        <f t="shared" si="3"/>
        <v>32</v>
      </c>
      <c r="B46" s="602" t="s">
        <v>640</v>
      </c>
      <c r="C46" s="1033" t="s">
        <v>1480</v>
      </c>
      <c r="D46" s="1032">
        <f>[17]F.1!D46</f>
        <v>150</v>
      </c>
      <c r="E46" s="595" t="s">
        <v>332</v>
      </c>
      <c r="F46" s="601">
        <f t="shared" si="2"/>
        <v>150</v>
      </c>
    </row>
    <row r="47" spans="1:6">
      <c r="A47" s="601">
        <f t="shared" si="3"/>
        <v>33</v>
      </c>
      <c r="B47" s="602" t="s">
        <v>640</v>
      </c>
      <c r="C47" s="1033" t="s">
        <v>1280</v>
      </c>
      <c r="D47" s="1032">
        <f>[17]F.1!D47</f>
        <v>125</v>
      </c>
      <c r="F47" s="601">
        <f t="shared" si="2"/>
        <v>125</v>
      </c>
    </row>
    <row r="48" spans="1:6">
      <c r="A48" s="601">
        <f t="shared" si="3"/>
        <v>34</v>
      </c>
      <c r="B48" s="602" t="s">
        <v>640</v>
      </c>
      <c r="C48" s="1033" t="s">
        <v>1281</v>
      </c>
      <c r="D48" s="1032">
        <f>[17]F.1!D48</f>
        <v>100</v>
      </c>
      <c r="F48" s="601">
        <f t="shared" si="2"/>
        <v>100</v>
      </c>
    </row>
    <row r="49" spans="1:6">
      <c r="A49" s="601">
        <f t="shared" si="3"/>
        <v>35</v>
      </c>
      <c r="B49" s="602" t="s">
        <v>640</v>
      </c>
      <c r="C49" s="1033" t="s">
        <v>1481</v>
      </c>
      <c r="D49" s="1032">
        <f>[17]F.1!D49</f>
        <v>350</v>
      </c>
      <c r="F49" s="601">
        <f t="shared" si="2"/>
        <v>350</v>
      </c>
    </row>
    <row r="50" spans="1:6">
      <c r="A50" s="601">
        <f t="shared" si="3"/>
        <v>36</v>
      </c>
      <c r="B50" s="602" t="s">
        <v>640</v>
      </c>
      <c r="C50" s="1033" t="s">
        <v>1282</v>
      </c>
      <c r="D50" s="1032">
        <f>[17]F.1!D50</f>
        <v>125</v>
      </c>
      <c r="F50" s="601">
        <f t="shared" si="2"/>
        <v>125</v>
      </c>
    </row>
    <row r="51" spans="1:6">
      <c r="A51" s="601">
        <f t="shared" si="3"/>
        <v>37</v>
      </c>
      <c r="B51" s="602" t="s">
        <v>640</v>
      </c>
      <c r="C51" s="1033" t="s">
        <v>1482</v>
      </c>
      <c r="D51" s="1032">
        <f>[17]F.1!D51</f>
        <v>1312</v>
      </c>
      <c r="F51" s="601">
        <f t="shared" si="2"/>
        <v>1312</v>
      </c>
    </row>
    <row r="52" spans="1:6">
      <c r="A52" s="601">
        <f t="shared" si="3"/>
        <v>38</v>
      </c>
      <c r="B52" s="602" t="s">
        <v>640</v>
      </c>
      <c r="C52" s="1033" t="s">
        <v>1483</v>
      </c>
      <c r="D52" s="1032">
        <f>[17]F.1!D52</f>
        <v>305</v>
      </c>
      <c r="F52" s="601">
        <f t="shared" si="2"/>
        <v>305</v>
      </c>
    </row>
    <row r="53" spans="1:6">
      <c r="A53" s="601">
        <f t="shared" si="3"/>
        <v>39</v>
      </c>
      <c r="B53" s="602" t="s">
        <v>640</v>
      </c>
      <c r="C53" s="1033" t="s">
        <v>1484</v>
      </c>
      <c r="D53" s="1032">
        <f>[17]F.1!D53</f>
        <v>400</v>
      </c>
      <c r="F53" s="601">
        <f t="shared" si="2"/>
        <v>400</v>
      </c>
    </row>
    <row r="54" spans="1:6">
      <c r="A54" s="601">
        <f t="shared" si="3"/>
        <v>40</v>
      </c>
      <c r="B54" s="602" t="s">
        <v>640</v>
      </c>
      <c r="C54" s="1035" t="s">
        <v>1283</v>
      </c>
      <c r="D54" s="1032">
        <f>[17]F.1!D54</f>
        <v>20</v>
      </c>
      <c r="F54" s="601">
        <f t="shared" si="2"/>
        <v>20</v>
      </c>
    </row>
    <row r="55" spans="1:6">
      <c r="A55" s="601">
        <f t="shared" si="3"/>
        <v>41</v>
      </c>
      <c r="B55" s="602" t="s">
        <v>640</v>
      </c>
      <c r="C55" s="1033" t="s">
        <v>1485</v>
      </c>
      <c r="D55" s="1032">
        <f>[17]F.1!D55</f>
        <v>890</v>
      </c>
      <c r="F55" s="601">
        <f t="shared" si="2"/>
        <v>890</v>
      </c>
    </row>
    <row r="56" spans="1:6">
      <c r="A56" s="601">
        <f t="shared" si="3"/>
        <v>42</v>
      </c>
      <c r="B56" s="602" t="s">
        <v>640</v>
      </c>
      <c r="C56" s="1036" t="s">
        <v>1284</v>
      </c>
      <c r="D56" s="1032">
        <f>[17]F.1!D56</f>
        <v>500</v>
      </c>
      <c r="F56" s="601">
        <f t="shared" si="2"/>
        <v>500</v>
      </c>
    </row>
    <row r="57" spans="1:6">
      <c r="A57" s="601">
        <f t="shared" si="3"/>
        <v>43</v>
      </c>
      <c r="B57" s="602" t="s">
        <v>640</v>
      </c>
      <c r="C57" s="1035" t="s">
        <v>1285</v>
      </c>
      <c r="D57" s="1032">
        <f>[17]F.1!D57</f>
        <v>300</v>
      </c>
      <c r="F57" s="601">
        <f t="shared" si="2"/>
        <v>300</v>
      </c>
    </row>
    <row r="58" spans="1:6">
      <c r="A58" s="601">
        <f t="shared" si="3"/>
        <v>44</v>
      </c>
      <c r="B58" s="602" t="s">
        <v>640</v>
      </c>
      <c r="C58" s="1036" t="s">
        <v>1286</v>
      </c>
      <c r="D58" s="1032">
        <f>[17]F.1!D58</f>
        <v>250</v>
      </c>
      <c r="F58" s="601">
        <f t="shared" si="2"/>
        <v>250</v>
      </c>
    </row>
    <row r="59" spans="1:6">
      <c r="A59" s="601">
        <f>A58+1</f>
        <v>45</v>
      </c>
      <c r="B59" s="602" t="s">
        <v>640</v>
      </c>
      <c r="C59" s="1036" t="s">
        <v>1287</v>
      </c>
      <c r="D59" s="1032">
        <f>[17]F.1!D59</f>
        <v>755</v>
      </c>
      <c r="E59" s="603"/>
      <c r="F59" s="601">
        <f t="shared" ref="F59:F69" si="4">D59</f>
        <v>755</v>
      </c>
    </row>
    <row r="60" spans="1:6">
      <c r="A60" s="601">
        <f t="shared" ref="A60:A71" si="5">A59+1</f>
        <v>46</v>
      </c>
      <c r="B60" s="602" t="s">
        <v>640</v>
      </c>
      <c r="C60" s="1033" t="s">
        <v>1486</v>
      </c>
      <c r="D60" s="1032">
        <f>[17]F.1!D60</f>
        <v>500</v>
      </c>
      <c r="F60" s="601">
        <f t="shared" si="4"/>
        <v>500</v>
      </c>
    </row>
    <row r="61" spans="1:6">
      <c r="A61" s="601">
        <f t="shared" si="5"/>
        <v>47</v>
      </c>
      <c r="B61" s="602" t="s">
        <v>640</v>
      </c>
      <c r="C61" s="1033" t="s">
        <v>1487</v>
      </c>
      <c r="D61" s="1032">
        <f>[17]F.1!D61</f>
        <v>75</v>
      </c>
      <c r="F61" s="601">
        <f t="shared" si="4"/>
        <v>75</v>
      </c>
    </row>
    <row r="62" spans="1:6">
      <c r="A62" s="601">
        <f t="shared" si="5"/>
        <v>48</v>
      </c>
      <c r="B62" s="606" t="s">
        <v>640</v>
      </c>
      <c r="C62" s="1030" t="s">
        <v>1288</v>
      </c>
      <c r="D62" s="1032">
        <f>[17]F.1!D62</f>
        <v>719.4</v>
      </c>
      <c r="F62" s="601">
        <f t="shared" si="4"/>
        <v>719.4</v>
      </c>
    </row>
    <row r="63" spans="1:6">
      <c r="A63" s="601">
        <f t="shared" si="5"/>
        <v>49</v>
      </c>
      <c r="B63" s="602" t="s">
        <v>640</v>
      </c>
      <c r="C63" s="1036" t="s">
        <v>1289</v>
      </c>
      <c r="D63" s="1032">
        <f>[17]F.1!D63</f>
        <v>130</v>
      </c>
      <c r="F63" s="601">
        <f t="shared" si="4"/>
        <v>130</v>
      </c>
    </row>
    <row r="64" spans="1:6">
      <c r="A64" s="601">
        <f t="shared" si="5"/>
        <v>50</v>
      </c>
      <c r="B64" s="602" t="s">
        <v>640</v>
      </c>
      <c r="C64" s="1033" t="s">
        <v>1488</v>
      </c>
      <c r="D64" s="1032">
        <f>[17]F.1!D64</f>
        <v>3000</v>
      </c>
      <c r="F64" s="601">
        <f t="shared" si="4"/>
        <v>3000</v>
      </c>
    </row>
    <row r="65" spans="1:6">
      <c r="A65" s="601">
        <f t="shared" si="5"/>
        <v>51</v>
      </c>
      <c r="B65" s="602" t="s">
        <v>640</v>
      </c>
      <c r="C65" s="1033" t="s">
        <v>1489</v>
      </c>
      <c r="D65" s="1032">
        <f>[17]F.1!D65</f>
        <v>125</v>
      </c>
      <c r="F65" s="601">
        <f t="shared" si="4"/>
        <v>125</v>
      </c>
    </row>
    <row r="66" spans="1:6">
      <c r="A66" s="601">
        <f t="shared" si="5"/>
        <v>52</v>
      </c>
      <c r="B66" s="602" t="s">
        <v>640</v>
      </c>
      <c r="C66" s="1033" t="s">
        <v>1490</v>
      </c>
      <c r="D66" s="1032">
        <f>[17]F.1!D66</f>
        <v>240</v>
      </c>
      <c r="F66" s="601">
        <f t="shared" si="4"/>
        <v>240</v>
      </c>
    </row>
    <row r="67" spans="1:6">
      <c r="A67" s="601">
        <f t="shared" si="5"/>
        <v>53</v>
      </c>
      <c r="B67" s="602" t="s">
        <v>640</v>
      </c>
      <c r="C67" s="1030" t="s">
        <v>1290</v>
      </c>
      <c r="D67" s="1032">
        <f>[17]F.1!D67</f>
        <v>250</v>
      </c>
      <c r="F67" s="601">
        <f t="shared" si="4"/>
        <v>250</v>
      </c>
    </row>
    <row r="68" spans="1:6">
      <c r="A68" s="601">
        <f t="shared" si="5"/>
        <v>54</v>
      </c>
      <c r="B68" s="602" t="s">
        <v>640</v>
      </c>
      <c r="C68" s="1033" t="s">
        <v>1491</v>
      </c>
      <c r="D68" s="1032">
        <f>[17]F.1!D68</f>
        <v>275</v>
      </c>
      <c r="F68" s="601">
        <f t="shared" si="4"/>
        <v>275</v>
      </c>
    </row>
    <row r="69" spans="1:6">
      <c r="A69" s="601">
        <f t="shared" si="5"/>
        <v>55</v>
      </c>
      <c r="B69" s="602" t="s">
        <v>640</v>
      </c>
      <c r="C69" s="1033" t="s">
        <v>1492</v>
      </c>
      <c r="D69" s="1032">
        <f>[17]F.1!D69</f>
        <v>34.25</v>
      </c>
      <c r="F69" s="601">
        <f t="shared" si="4"/>
        <v>34.25</v>
      </c>
    </row>
    <row r="70" spans="1:6">
      <c r="A70" s="601">
        <f t="shared" si="5"/>
        <v>56</v>
      </c>
      <c r="B70" s="602" t="s">
        <v>640</v>
      </c>
      <c r="C70" s="1033" t="s">
        <v>399</v>
      </c>
      <c r="D70" s="1032">
        <f>[17]F.1!$D$70</f>
        <v>0</v>
      </c>
      <c r="E70" s="612">
        <f>Allocation!I14</f>
        <v>5.2575879716356848E-2</v>
      </c>
      <c r="F70" s="601">
        <f>D70*E70</f>
        <v>0</v>
      </c>
    </row>
    <row r="71" spans="1:6">
      <c r="A71" s="601">
        <f t="shared" si="5"/>
        <v>57</v>
      </c>
      <c r="B71" s="602" t="s">
        <v>640</v>
      </c>
      <c r="C71" s="1033"/>
      <c r="D71" s="1032"/>
      <c r="E71" s="612"/>
      <c r="F71" s="601">
        <f>D71*E71</f>
        <v>0</v>
      </c>
    </row>
    <row r="72" spans="1:6">
      <c r="A72" s="601"/>
      <c r="B72" s="602"/>
    </row>
    <row r="73" spans="1:6" ht="15.75">
      <c r="C73" s="608" t="s">
        <v>821</v>
      </c>
      <c r="D73" s="604">
        <f>SUM(D15:D72)</f>
        <v>70216.73</v>
      </c>
      <c r="F73" s="604">
        <f>SUM(F15:F72)</f>
        <v>70216.73</v>
      </c>
    </row>
    <row r="75" spans="1:6" ht="15.75">
      <c r="C75" s="611" t="s">
        <v>1431</v>
      </c>
    </row>
    <row r="76" spans="1:6" ht="15.75">
      <c r="C76" s="610"/>
    </row>
    <row r="77" spans="1:6">
      <c r="A77" s="601">
        <v>1</v>
      </c>
      <c r="B77" s="602" t="s">
        <v>640</v>
      </c>
      <c r="C77" s="1034" t="str">
        <f>C15</f>
        <v>JOURNAL ENTRY</v>
      </c>
      <c r="D77" s="1032">
        <f>[17]F.1!D77</f>
        <v>-312</v>
      </c>
      <c r="E77" s="603" t="s">
        <v>1079</v>
      </c>
      <c r="F77" s="601">
        <f t="shared" ref="F77:F98" si="6">D77</f>
        <v>-312</v>
      </c>
    </row>
    <row r="78" spans="1:6">
      <c r="A78" s="601">
        <f t="shared" ref="A78:A93" si="7">A77+1</f>
        <v>2</v>
      </c>
      <c r="B78" s="602" t="s">
        <v>640</v>
      </c>
      <c r="C78" s="1034" t="str">
        <f t="shared" ref="C78:C132" si="8">C16</f>
        <v>ANDERSON COUNTY CHAMBER OF COMMERCE</v>
      </c>
      <c r="D78" s="1032">
        <f>[17]F.1!D78</f>
        <v>400</v>
      </c>
      <c r="F78" s="601">
        <f t="shared" si="6"/>
        <v>400</v>
      </c>
    </row>
    <row r="79" spans="1:6">
      <c r="A79" s="601">
        <f t="shared" si="7"/>
        <v>3</v>
      </c>
      <c r="B79" s="602" t="s">
        <v>640</v>
      </c>
      <c r="C79" s="1034" t="str">
        <f t="shared" si="8"/>
        <v>BOWLING GREEN AREA CHAMBER OF COMMERCE</v>
      </c>
      <c r="D79" s="1032">
        <f>[17]F.1!D79</f>
        <v>7500</v>
      </c>
      <c r="F79" s="601">
        <f t="shared" si="6"/>
        <v>7500</v>
      </c>
    </row>
    <row r="80" spans="1:6">
      <c r="A80" s="601">
        <f t="shared" si="7"/>
        <v>4</v>
      </c>
      <c r="B80" s="602" t="s">
        <v>640</v>
      </c>
      <c r="C80" s="1034" t="str">
        <f t="shared" si="8"/>
        <v>BRECKINRIDGE COUNTY CHAMBER OF COMMERCE</v>
      </c>
      <c r="D80" s="1032">
        <f>[17]F.1!D80</f>
        <v>125</v>
      </c>
      <c r="F80" s="601">
        <f t="shared" si="6"/>
        <v>125</v>
      </c>
    </row>
    <row r="81" spans="1:6">
      <c r="A81" s="601">
        <f t="shared" si="7"/>
        <v>5</v>
      </c>
      <c r="B81" s="602" t="s">
        <v>640</v>
      </c>
      <c r="C81" s="1034" t="str">
        <f t="shared" si="8"/>
        <v>BUILDING INDUSTRY ASSOCIATION OF GREATER LOUISVILLE</v>
      </c>
      <c r="D81" s="1032">
        <f>[17]F.1!D81</f>
        <v>405</v>
      </c>
      <c r="F81" s="601">
        <f t="shared" si="6"/>
        <v>405</v>
      </c>
    </row>
    <row r="82" spans="1:6">
      <c r="A82" s="601">
        <f t="shared" si="7"/>
        <v>6</v>
      </c>
      <c r="B82" s="602" t="s">
        <v>640</v>
      </c>
      <c r="C82" s="1034" t="str">
        <f t="shared" si="8"/>
        <v>CADIZ TRIGG COUNTY ECONOMIC DEVELOP COMM</v>
      </c>
      <c r="D82" s="1032">
        <f>[17]F.1!D82</f>
        <v>500</v>
      </c>
      <c r="F82" s="601">
        <f t="shared" si="6"/>
        <v>500</v>
      </c>
    </row>
    <row r="83" spans="1:6">
      <c r="A83" s="601">
        <f t="shared" si="7"/>
        <v>7</v>
      </c>
      <c r="B83" s="602" t="s">
        <v>640</v>
      </c>
      <c r="C83" s="1034" t="str">
        <f t="shared" si="8"/>
        <v>CAMPBELLSVILLE-TAYLOR COUNTY CHAMBER OF COMMERCE</v>
      </c>
      <c r="D83" s="1032">
        <f>[17]F.1!D83</f>
        <v>100</v>
      </c>
      <c r="F83" s="601">
        <f t="shared" si="6"/>
        <v>100</v>
      </c>
    </row>
    <row r="84" spans="1:6">
      <c r="A84" s="601">
        <f t="shared" si="7"/>
        <v>8</v>
      </c>
      <c r="B84" s="602" t="s">
        <v>640</v>
      </c>
      <c r="C84" s="1034" t="str">
        <f t="shared" si="8"/>
        <v>CAVE CITY CHAMBER OF COMMERCE</v>
      </c>
      <c r="D84" s="1032">
        <f>[17]F.1!D84</f>
        <v>300</v>
      </c>
      <c r="F84" s="601">
        <f t="shared" si="6"/>
        <v>300</v>
      </c>
    </row>
    <row r="85" spans="1:6">
      <c r="A85" s="601">
        <f t="shared" si="7"/>
        <v>9</v>
      </c>
      <c r="B85" s="602" t="s">
        <v>640</v>
      </c>
      <c r="C85" s="1034" t="str">
        <f t="shared" si="8"/>
        <v>CHAMBER OF COMMERCE</v>
      </c>
      <c r="D85" s="1032">
        <f>[17]F.1!D85</f>
        <v>2000</v>
      </c>
      <c r="F85" s="601">
        <f t="shared" si="6"/>
        <v>2000</v>
      </c>
    </row>
    <row r="86" spans="1:6">
      <c r="A86" s="601">
        <f t="shared" si="7"/>
        <v>10</v>
      </c>
      <c r="B86" s="602" t="s">
        <v>640</v>
      </c>
      <c r="C86" s="1034" t="str">
        <f t="shared" si="8"/>
        <v>CHRISTIAN COUNTY CHAMBER OF COMMERCE</v>
      </c>
      <c r="D86" s="1032">
        <f>[17]F.1!D86</f>
        <v>1248.08</v>
      </c>
      <c r="F86" s="601">
        <f t="shared" si="6"/>
        <v>1248.08</v>
      </c>
    </row>
    <row r="87" spans="1:6">
      <c r="A87" s="601">
        <f t="shared" si="7"/>
        <v>11</v>
      </c>
      <c r="B87" s="602" t="s">
        <v>640</v>
      </c>
      <c r="C87" s="1034" t="str">
        <f t="shared" si="8"/>
        <v>CRITTENDEN COUNTY CHAMBER OF COMMERCE</v>
      </c>
      <c r="D87" s="1032">
        <f>[17]F.1!D87</f>
        <v>525</v>
      </c>
      <c r="F87" s="601">
        <f t="shared" si="6"/>
        <v>525</v>
      </c>
    </row>
    <row r="88" spans="1:6">
      <c r="A88" s="601">
        <f t="shared" si="7"/>
        <v>12</v>
      </c>
      <c r="B88" s="602" t="s">
        <v>640</v>
      </c>
      <c r="C88" s="1034" t="str">
        <f t="shared" si="8"/>
        <v>CRITTENDEN COUNTY ECONOMIC</v>
      </c>
      <c r="D88" s="1032">
        <f>[17]F.1!D88</f>
        <v>500</v>
      </c>
      <c r="F88" s="601">
        <f t="shared" si="6"/>
        <v>500</v>
      </c>
    </row>
    <row r="89" spans="1:6">
      <c r="A89" s="601">
        <f t="shared" si="7"/>
        <v>13</v>
      </c>
      <c r="B89" s="602" t="s">
        <v>640</v>
      </c>
      <c r="C89" s="1034" t="str">
        <f t="shared" si="8"/>
        <v>DANVILLE-BOYLE COUNTY CHAMBER OF COMMERCE</v>
      </c>
      <c r="D89" s="1032">
        <f>[17]F.1!D89</f>
        <v>325</v>
      </c>
      <c r="F89" s="601">
        <f t="shared" si="6"/>
        <v>325</v>
      </c>
    </row>
    <row r="90" spans="1:6">
      <c r="A90" s="601">
        <f t="shared" si="7"/>
        <v>14</v>
      </c>
      <c r="B90" s="602" t="s">
        <v>640</v>
      </c>
      <c r="C90" s="1034" t="str">
        <f t="shared" si="8"/>
        <v>GARRARD COUNTY</v>
      </c>
      <c r="D90" s="1032">
        <f>[17]F.1!D90</f>
        <v>300</v>
      </c>
      <c r="F90" s="601">
        <f t="shared" si="6"/>
        <v>300</v>
      </c>
    </row>
    <row r="91" spans="1:6">
      <c r="A91" s="601">
        <f t="shared" si="7"/>
        <v>15</v>
      </c>
      <c r="B91" s="602" t="s">
        <v>640</v>
      </c>
      <c r="C91" s="1034" t="str">
        <f t="shared" si="8"/>
        <v>GARRARD COUNTY CHAMBER OF COMMERCE</v>
      </c>
      <c r="D91" s="1032">
        <f>[17]F.1!D91</f>
        <v>300</v>
      </c>
      <c r="F91" s="601">
        <f t="shared" si="6"/>
        <v>300</v>
      </c>
    </row>
    <row r="92" spans="1:6">
      <c r="A92" s="601">
        <f t="shared" si="7"/>
        <v>16</v>
      </c>
      <c r="B92" s="602" t="s">
        <v>640</v>
      </c>
      <c r="C92" s="1034" t="str">
        <f t="shared" si="8"/>
        <v>GLASGOW BARREN COUNTY CHAMBER OF COMMERCE</v>
      </c>
      <c r="D92" s="1032">
        <f>[17]F.1!D92</f>
        <v>4125</v>
      </c>
      <c r="F92" s="601">
        <f t="shared" si="6"/>
        <v>4125</v>
      </c>
    </row>
    <row r="93" spans="1:6">
      <c r="A93" s="601">
        <f t="shared" si="7"/>
        <v>17</v>
      </c>
      <c r="B93" s="602" t="s">
        <v>640</v>
      </c>
      <c r="C93" s="1034" t="str">
        <f t="shared" si="8"/>
        <v>GRAND RIVERS CHAMBER OF COMMERCE</v>
      </c>
      <c r="D93" s="1032">
        <f>[17]F.1!D93</f>
        <v>100</v>
      </c>
      <c r="F93" s="601">
        <f t="shared" si="6"/>
        <v>100</v>
      </c>
    </row>
    <row r="94" spans="1:6">
      <c r="A94" s="601">
        <v>18</v>
      </c>
      <c r="B94" s="602" t="s">
        <v>640</v>
      </c>
      <c r="C94" s="1034" t="str">
        <f t="shared" si="8"/>
        <v>GREATER MUHLENBERG CHAMBER OF COMMERCE</v>
      </c>
      <c r="D94" s="1032">
        <f>[17]F.1!D94</f>
        <v>175</v>
      </c>
      <c r="F94" s="601">
        <f t="shared" si="6"/>
        <v>175</v>
      </c>
    </row>
    <row r="95" spans="1:6">
      <c r="A95" s="601">
        <f>A94+1</f>
        <v>19</v>
      </c>
      <c r="B95" s="602" t="s">
        <v>640</v>
      </c>
      <c r="C95" s="1034" t="str">
        <f t="shared" si="8"/>
        <v>GREATER OWENSBORO CHAMBER OF COMMERCE</v>
      </c>
      <c r="D95" s="1032">
        <f>[17]F.1!D95</f>
        <v>760</v>
      </c>
      <c r="F95" s="601">
        <f t="shared" si="6"/>
        <v>760</v>
      </c>
    </row>
    <row r="96" spans="1:6">
      <c r="A96" s="601">
        <f>A95+1</f>
        <v>20</v>
      </c>
      <c r="B96" s="602" t="s">
        <v>640</v>
      </c>
      <c r="C96" s="1034" t="str">
        <f t="shared" si="8"/>
        <v>GREATER OWENSBORO ECONOMIC DEVELOPMENT CORP</v>
      </c>
      <c r="D96" s="1032">
        <f>[17]F.1!D96</f>
        <v>10000</v>
      </c>
      <c r="F96" s="601">
        <f t="shared" si="6"/>
        <v>10000</v>
      </c>
    </row>
    <row r="97" spans="1:6">
      <c r="A97" s="601">
        <f>A96+1</f>
        <v>21</v>
      </c>
      <c r="B97" s="602" t="s">
        <v>640</v>
      </c>
      <c r="C97" s="1034" t="str">
        <f t="shared" si="8"/>
        <v>GREENSBURG-GREEN CO. CHAMBER OF COMMERCE</v>
      </c>
      <c r="D97" s="1032">
        <f>[17]F.1!D97</f>
        <v>200</v>
      </c>
      <c r="F97" s="601">
        <f t="shared" si="6"/>
        <v>200</v>
      </c>
    </row>
    <row r="98" spans="1:6">
      <c r="A98" s="601">
        <f>A97+1</f>
        <v>22</v>
      </c>
      <c r="B98" s="602" t="s">
        <v>640</v>
      </c>
      <c r="C98" s="1034" t="str">
        <f t="shared" si="8"/>
        <v>HART COUNTY CHAMBER OF COMMERCE</v>
      </c>
      <c r="D98" s="1032">
        <f>[17]F.1!D98</f>
        <v>200</v>
      </c>
      <c r="F98" s="601">
        <f t="shared" si="6"/>
        <v>200</v>
      </c>
    </row>
    <row r="99" spans="1:6">
      <c r="A99" s="601">
        <v>23</v>
      </c>
      <c r="B99" s="602" t="s">
        <v>640</v>
      </c>
      <c r="C99" s="1034" t="str">
        <f t="shared" si="8"/>
        <v>HOPKINS COUNTY HOME BUILDERS ASSOCIATION</v>
      </c>
      <c r="D99" s="1032">
        <f>[17]F.1!D99</f>
        <v>295</v>
      </c>
      <c r="E99" s="603"/>
      <c r="F99" s="601">
        <f t="shared" ref="F99:F120" si="9">D99</f>
        <v>295</v>
      </c>
    </row>
    <row r="100" spans="1:6">
      <c r="A100" s="601">
        <f t="shared" ref="A100:A120" si="10">A99+1</f>
        <v>24</v>
      </c>
      <c r="B100" s="602" t="s">
        <v>640</v>
      </c>
      <c r="C100" s="1034" t="str">
        <f t="shared" si="8"/>
        <v>JUNIOR ACHIEVEMENT OF WEST KENTUCKY</v>
      </c>
      <c r="D100" s="1032">
        <f>[17]F.1!D100</f>
        <v>500</v>
      </c>
      <c r="F100" s="601">
        <f t="shared" si="9"/>
        <v>500</v>
      </c>
    </row>
    <row r="101" spans="1:6">
      <c r="A101" s="601">
        <f t="shared" si="10"/>
        <v>25</v>
      </c>
      <c r="B101" s="602" t="s">
        <v>640</v>
      </c>
      <c r="C101" s="1034" t="str">
        <f t="shared" si="8"/>
        <v>KENTUCKY ASSOCIATION OF MANUFACTURERS</v>
      </c>
      <c r="D101" s="1032">
        <f>[17]F.1!D101</f>
        <v>1540</v>
      </c>
      <c r="F101" s="601">
        <f t="shared" si="9"/>
        <v>1540</v>
      </c>
    </row>
    <row r="102" spans="1:6">
      <c r="A102" s="601">
        <f t="shared" si="10"/>
        <v>26</v>
      </c>
      <c r="B102" s="602" t="s">
        <v>640</v>
      </c>
      <c r="C102" s="1034" t="str">
        <f t="shared" si="8"/>
        <v>KENTUCKY CHAMBER</v>
      </c>
      <c r="D102" s="1032">
        <f>[17]F.1!D102</f>
        <v>11600</v>
      </c>
      <c r="F102" s="601">
        <f t="shared" si="9"/>
        <v>11600</v>
      </c>
    </row>
    <row r="103" spans="1:6">
      <c r="A103" s="601">
        <f t="shared" si="10"/>
        <v>27</v>
      </c>
      <c r="B103" s="602" t="s">
        <v>640</v>
      </c>
      <c r="C103" s="1034" t="str">
        <f t="shared" si="8"/>
        <v>KENTUCKY CHAMBER OF COMMERCE EXECUTIVES</v>
      </c>
      <c r="D103" s="1032">
        <f>[17]F.1!D103</f>
        <v>3000</v>
      </c>
      <c r="E103" s="595" t="s">
        <v>332</v>
      </c>
      <c r="F103" s="601">
        <f t="shared" si="9"/>
        <v>3000</v>
      </c>
    </row>
    <row r="104" spans="1:6">
      <c r="A104" s="601">
        <f t="shared" si="10"/>
        <v>28</v>
      </c>
      <c r="B104" s="602" t="s">
        <v>640</v>
      </c>
      <c r="C104" s="1034" t="str">
        <f t="shared" si="8"/>
        <v>KENTUCKY GAS ASSOCIATION</v>
      </c>
      <c r="D104" s="1032">
        <f>[17]F.1!D104</f>
        <v>10950</v>
      </c>
      <c r="F104" s="601">
        <f t="shared" si="9"/>
        <v>10950</v>
      </c>
    </row>
    <row r="105" spans="1:6">
      <c r="A105" s="601">
        <f t="shared" si="10"/>
        <v>29</v>
      </c>
      <c r="B105" s="602" t="s">
        <v>640</v>
      </c>
      <c r="C105" s="1034" t="str">
        <f t="shared" si="8"/>
        <v>KENTUCKY LAKE CHAMBER OF COMMERCE</v>
      </c>
      <c r="D105" s="1032">
        <f>[17]F.1!D105</f>
        <v>500</v>
      </c>
      <c r="F105" s="601">
        <f t="shared" si="9"/>
        <v>500</v>
      </c>
    </row>
    <row r="106" spans="1:6">
      <c r="A106" s="601">
        <f t="shared" si="10"/>
        <v>30</v>
      </c>
      <c r="B106" s="602" t="s">
        <v>640</v>
      </c>
      <c r="C106" s="1034" t="str">
        <f t="shared" si="8"/>
        <v>KENTUCKY OIL AND GAS ASSOCIATION</v>
      </c>
      <c r="D106" s="1032">
        <f>[17]F.1!D106</f>
        <v>1000</v>
      </c>
      <c r="F106" s="601">
        <f t="shared" si="9"/>
        <v>1000</v>
      </c>
    </row>
    <row r="107" spans="1:6">
      <c r="A107" s="601">
        <f t="shared" si="10"/>
        <v>31</v>
      </c>
      <c r="B107" s="602" t="s">
        <v>640</v>
      </c>
      <c r="C107" s="1034" t="str">
        <f t="shared" si="8"/>
        <v>KIWANIS CLUB</v>
      </c>
      <c r="D107" s="1032">
        <f>[17]F.1!D107</f>
        <v>125</v>
      </c>
      <c r="F107" s="601">
        <f t="shared" si="9"/>
        <v>125</v>
      </c>
    </row>
    <row r="108" spans="1:6">
      <c r="A108" s="601">
        <f t="shared" si="10"/>
        <v>32</v>
      </c>
      <c r="B108" s="602" t="s">
        <v>640</v>
      </c>
      <c r="C108" s="1034" t="str">
        <f t="shared" si="8"/>
        <v>KY STATE BOARD FOR LICENSURE FOR PROFESSIONAL ENGINEERS</v>
      </c>
      <c r="D108" s="1032">
        <f>[17]F.1!D108</f>
        <v>150</v>
      </c>
      <c r="E108" s="595" t="s">
        <v>332</v>
      </c>
      <c r="F108" s="601">
        <f t="shared" si="9"/>
        <v>150</v>
      </c>
    </row>
    <row r="109" spans="1:6">
      <c r="A109" s="601">
        <f t="shared" si="10"/>
        <v>33</v>
      </c>
      <c r="B109" s="602" t="s">
        <v>640</v>
      </c>
      <c r="C109" s="1034" t="str">
        <f t="shared" si="8"/>
        <v>LAKE BARKLEY CHAMBER OF COMMERCE</v>
      </c>
      <c r="D109" s="1032">
        <f>[17]F.1!D109</f>
        <v>125</v>
      </c>
      <c r="F109" s="601">
        <f t="shared" si="9"/>
        <v>125</v>
      </c>
    </row>
    <row r="110" spans="1:6">
      <c r="A110" s="601">
        <f t="shared" si="10"/>
        <v>34</v>
      </c>
      <c r="B110" s="602" t="s">
        <v>640</v>
      </c>
      <c r="C110" s="1034" t="str">
        <f t="shared" si="8"/>
        <v>LEADERSHIP KENTUCKY</v>
      </c>
      <c r="D110" s="1032">
        <f>[17]F.1!D110</f>
        <v>100</v>
      </c>
      <c r="F110" s="601">
        <f t="shared" si="9"/>
        <v>100</v>
      </c>
    </row>
    <row r="111" spans="1:6">
      <c r="A111" s="601">
        <f t="shared" si="10"/>
        <v>35</v>
      </c>
      <c r="B111" s="602" t="s">
        <v>640</v>
      </c>
      <c r="C111" s="1034" t="str">
        <f t="shared" si="8"/>
        <v>LEADERSHIP SHELBY</v>
      </c>
      <c r="D111" s="1032">
        <f>[17]F.1!D111</f>
        <v>350</v>
      </c>
      <c r="F111" s="601">
        <f t="shared" si="9"/>
        <v>350</v>
      </c>
    </row>
    <row r="112" spans="1:6">
      <c r="A112" s="601">
        <f t="shared" si="10"/>
        <v>36</v>
      </c>
      <c r="B112" s="602" t="s">
        <v>640</v>
      </c>
      <c r="C112" s="1034" t="str">
        <f t="shared" si="8"/>
        <v>LINCOLN COUNTY CHAMBER OF COMMERCE</v>
      </c>
      <c r="D112" s="1032">
        <f>[17]F.1!D112</f>
        <v>125</v>
      </c>
      <c r="F112" s="601">
        <f t="shared" si="9"/>
        <v>125</v>
      </c>
    </row>
    <row r="113" spans="1:6">
      <c r="A113" s="601">
        <f t="shared" si="10"/>
        <v>37</v>
      </c>
      <c r="B113" s="602" t="s">
        <v>640</v>
      </c>
      <c r="C113" s="1034" t="str">
        <f t="shared" si="8"/>
        <v>LOGAN ECONOMIC ALLIANCE FOR DEVELOPMENT</v>
      </c>
      <c r="D113" s="1032">
        <f>[17]F.1!D113</f>
        <v>1312</v>
      </c>
      <c r="F113" s="601">
        <f t="shared" si="9"/>
        <v>1312</v>
      </c>
    </row>
    <row r="114" spans="1:6">
      <c r="A114" s="601">
        <f t="shared" si="10"/>
        <v>38</v>
      </c>
      <c r="B114" s="602" t="s">
        <v>640</v>
      </c>
      <c r="C114" s="1034" t="str">
        <f t="shared" si="8"/>
        <v>MADISONVILLE-HOPKINS COUNTY CHAMBER OF COMMERCE</v>
      </c>
      <c r="D114" s="1032">
        <f>[17]F.1!D114</f>
        <v>305</v>
      </c>
      <c r="F114" s="601">
        <f t="shared" si="9"/>
        <v>305</v>
      </c>
    </row>
    <row r="115" spans="1:6">
      <c r="A115" s="601">
        <f t="shared" si="10"/>
        <v>39</v>
      </c>
      <c r="B115" s="602" t="s">
        <v>640</v>
      </c>
      <c r="C115" s="1034" t="str">
        <f t="shared" si="8"/>
        <v>MARION COUNTY CHAMBER OF COMMERCE</v>
      </c>
      <c r="D115" s="1032">
        <f>[17]F.1!D115</f>
        <v>400</v>
      </c>
      <c r="F115" s="601">
        <f t="shared" si="9"/>
        <v>400</v>
      </c>
    </row>
    <row r="116" spans="1:6">
      <c r="A116" s="601">
        <f t="shared" si="10"/>
        <v>40</v>
      </c>
      <c r="B116" s="602" t="s">
        <v>640</v>
      </c>
      <c r="C116" s="1034" t="str">
        <f t="shared" si="8"/>
        <v>MARION MAIN STREET INC</v>
      </c>
      <c r="D116" s="1032">
        <f>[17]F.1!D116</f>
        <v>20</v>
      </c>
      <c r="F116" s="601">
        <f t="shared" si="9"/>
        <v>20</v>
      </c>
    </row>
    <row r="117" spans="1:6">
      <c r="A117" s="601">
        <f t="shared" si="10"/>
        <v>41</v>
      </c>
      <c r="B117" s="602" t="s">
        <v>640</v>
      </c>
      <c r="C117" s="1034" t="str">
        <f t="shared" si="8"/>
        <v>MAYFIELD/GRAVES COUNTY CHAMBER OF COMMERCE</v>
      </c>
      <c r="D117" s="1032">
        <f>[17]F.1!D117</f>
        <v>890</v>
      </c>
      <c r="F117" s="601">
        <f t="shared" si="9"/>
        <v>890</v>
      </c>
    </row>
    <row r="118" spans="1:6">
      <c r="A118" s="601">
        <f t="shared" si="10"/>
        <v>42</v>
      </c>
      <c r="B118" s="602" t="s">
        <v>640</v>
      </c>
      <c r="C118" s="1034" t="str">
        <f t="shared" si="8"/>
        <v>MERCER COUNTY CHAMBER OF COMMERCE</v>
      </c>
      <c r="D118" s="1032">
        <f>[17]F.1!D118</f>
        <v>500</v>
      </c>
      <c r="F118" s="601">
        <f t="shared" si="9"/>
        <v>500</v>
      </c>
    </row>
    <row r="119" spans="1:6">
      <c r="A119" s="601">
        <f t="shared" si="10"/>
        <v>43</v>
      </c>
      <c r="B119" s="602" t="s">
        <v>640</v>
      </c>
      <c r="C119" s="1034" t="str">
        <f t="shared" si="8"/>
        <v>OHIO COUNTY CHAMBER OF COMMERCE</v>
      </c>
      <c r="D119" s="1032">
        <f>[17]F.1!D119</f>
        <v>300</v>
      </c>
      <c r="F119" s="601">
        <f t="shared" si="9"/>
        <v>300</v>
      </c>
    </row>
    <row r="120" spans="1:6">
      <c r="A120" s="601">
        <f t="shared" si="10"/>
        <v>44</v>
      </c>
      <c r="B120" s="602" t="s">
        <v>640</v>
      </c>
      <c r="C120" s="1034" t="str">
        <f t="shared" si="8"/>
        <v>OWENSBORO AREA MUSEUM OF SCIENCE AND HISTORY</v>
      </c>
      <c r="D120" s="1032">
        <f>[17]F.1!D120</f>
        <v>250</v>
      </c>
      <c r="F120" s="601">
        <f t="shared" si="9"/>
        <v>250</v>
      </c>
    </row>
    <row r="121" spans="1:6">
      <c r="A121" s="601">
        <f>A120+1</f>
        <v>45</v>
      </c>
      <c r="B121" s="602" t="s">
        <v>640</v>
      </c>
      <c r="C121" s="1034" t="str">
        <f t="shared" si="8"/>
        <v>PADUCAH AREA CHAMBER OF COMMERCE</v>
      </c>
      <c r="D121" s="1032">
        <f>[17]F.1!D121</f>
        <v>755</v>
      </c>
      <c r="E121" s="603"/>
      <c r="F121" s="601">
        <f t="shared" ref="F121:F131" si="11">D121</f>
        <v>755</v>
      </c>
    </row>
    <row r="122" spans="1:6">
      <c r="A122" s="601">
        <f t="shared" ref="A122:A133" si="12">A121+1</f>
        <v>46</v>
      </c>
      <c r="B122" s="602" t="s">
        <v>640</v>
      </c>
      <c r="C122" s="1034" t="str">
        <f t="shared" si="8"/>
        <v>PRINCETON/CALDWELL COUNTY CHAMBER OF COMMERCE</v>
      </c>
      <c r="D122" s="1032">
        <f>[17]F.1!D122</f>
        <v>500</v>
      </c>
      <c r="F122" s="601">
        <f t="shared" si="11"/>
        <v>500</v>
      </c>
    </row>
    <row r="123" spans="1:6">
      <c r="A123" s="601">
        <f t="shared" si="12"/>
        <v>47</v>
      </c>
      <c r="B123" s="602" t="s">
        <v>640</v>
      </c>
      <c r="C123" s="1034" t="str">
        <f t="shared" si="8"/>
        <v>ROTARY CLUB INTERNATIONAL</v>
      </c>
      <c r="D123" s="1032">
        <f>[17]F.1!D123</f>
        <v>75</v>
      </c>
      <c r="F123" s="601">
        <f t="shared" si="11"/>
        <v>75</v>
      </c>
    </row>
    <row r="124" spans="1:6">
      <c r="A124" s="601">
        <f t="shared" si="12"/>
        <v>48</v>
      </c>
      <c r="B124" s="602" t="s">
        <v>640</v>
      </c>
      <c r="C124" s="1034" t="str">
        <f t="shared" si="8"/>
        <v>SHELBY COUNTY CHAMBER OF COMMERCE</v>
      </c>
      <c r="D124" s="1032">
        <f>[17]F.1!D124</f>
        <v>719.4</v>
      </c>
      <c r="F124" s="601">
        <f t="shared" si="11"/>
        <v>719.4</v>
      </c>
    </row>
    <row r="125" spans="1:6">
      <c r="A125" s="601">
        <f t="shared" si="12"/>
        <v>49</v>
      </c>
      <c r="B125" s="602" t="s">
        <v>640</v>
      </c>
      <c r="C125" s="1034" t="str">
        <f t="shared" si="8"/>
        <v>SOCIETY FOR MARKETING PROFESSIONAL SERVICES</v>
      </c>
      <c r="D125" s="1032">
        <f>[17]F.1!D125</f>
        <v>130</v>
      </c>
      <c r="F125" s="601">
        <f t="shared" si="11"/>
        <v>130</v>
      </c>
    </row>
    <row r="126" spans="1:6">
      <c r="A126" s="601">
        <f t="shared" si="12"/>
        <v>50</v>
      </c>
      <c r="B126" s="602" t="s">
        <v>640</v>
      </c>
      <c r="C126" s="1034" t="str">
        <f t="shared" si="8"/>
        <v>SOUTHWESTERN KENTUCKY ECONOMIC DEVELOPMENT COUNCIL</v>
      </c>
      <c r="D126" s="1032">
        <f>[17]F.1!D126</f>
        <v>3000</v>
      </c>
      <c r="F126" s="601">
        <f t="shared" si="11"/>
        <v>3000</v>
      </c>
    </row>
    <row r="127" spans="1:6">
      <c r="A127" s="601">
        <f t="shared" si="12"/>
        <v>51</v>
      </c>
      <c r="B127" s="602" t="s">
        <v>640</v>
      </c>
      <c r="C127" s="1034" t="str">
        <f t="shared" si="8"/>
        <v>SPRINGFIELD-WASHINGTON COUNTY CHAMBER OF COMMERCE</v>
      </c>
      <c r="D127" s="1032">
        <f>[17]F.1!D127</f>
        <v>125</v>
      </c>
      <c r="F127" s="601">
        <f t="shared" si="11"/>
        <v>125</v>
      </c>
    </row>
    <row r="128" spans="1:6">
      <c r="A128" s="601">
        <f t="shared" si="12"/>
        <v>52</v>
      </c>
      <c r="B128" s="602" t="s">
        <v>640</v>
      </c>
      <c r="C128" s="1034" t="str">
        <f t="shared" si="8"/>
        <v>TEXAS BOARD OF PROFESSIONAL ENGINEERS -OWENSBORO, KY</v>
      </c>
      <c r="D128" s="1032">
        <f>[17]F.1!D128</f>
        <v>240</v>
      </c>
      <c r="F128" s="601">
        <f t="shared" si="11"/>
        <v>240</v>
      </c>
    </row>
    <row r="129" spans="1:8">
      <c r="A129" s="601">
        <f t="shared" si="12"/>
        <v>53</v>
      </c>
      <c r="B129" s="602" t="s">
        <v>640</v>
      </c>
      <c r="C129" s="1034" t="str">
        <f t="shared" si="8"/>
        <v>TODD COUNTY COMMUNITY ALLIANCE</v>
      </c>
      <c r="D129" s="1032">
        <f>[17]F.1!D129</f>
        <v>250</v>
      </c>
      <c r="F129" s="601">
        <f t="shared" si="11"/>
        <v>250</v>
      </c>
    </row>
    <row r="130" spans="1:8">
      <c r="A130" s="601">
        <f t="shared" si="12"/>
        <v>54</v>
      </c>
      <c r="B130" s="602" t="s">
        <v>640</v>
      </c>
      <c r="C130" s="1034" t="str">
        <f t="shared" si="8"/>
        <v>TRIGG COUNTY CHAMBER OF COMMERCE</v>
      </c>
      <c r="D130" s="1032">
        <f>[17]F.1!D130</f>
        <v>275</v>
      </c>
      <c r="F130" s="601">
        <f t="shared" si="11"/>
        <v>275</v>
      </c>
    </row>
    <row r="131" spans="1:8">
      <c r="A131" s="601">
        <f t="shared" si="12"/>
        <v>55</v>
      </c>
      <c r="B131" s="602" t="s">
        <v>640</v>
      </c>
      <c r="C131" s="1034" t="str">
        <f t="shared" si="8"/>
        <v>WARREN COUNTY CLERK</v>
      </c>
      <c r="D131" s="1032">
        <f>[17]F.1!D131</f>
        <v>34.25</v>
      </c>
      <c r="F131" s="601">
        <f t="shared" si="11"/>
        <v>34.25</v>
      </c>
    </row>
    <row r="132" spans="1:8">
      <c r="A132" s="601">
        <f t="shared" si="12"/>
        <v>56</v>
      </c>
      <c r="B132" s="602" t="s">
        <v>640</v>
      </c>
      <c r="C132" s="1034" t="str">
        <f t="shared" si="8"/>
        <v>AGA</v>
      </c>
      <c r="D132" s="1032">
        <f>[17]F.1!D132</f>
        <v>0</v>
      </c>
      <c r="E132" s="68">
        <f>Allocation!I14</f>
        <v>5.2575879716356848E-2</v>
      </c>
      <c r="F132" s="601">
        <f>D132*E132</f>
        <v>0</v>
      </c>
    </row>
    <row r="133" spans="1:8">
      <c r="A133" s="601">
        <f t="shared" si="12"/>
        <v>57</v>
      </c>
      <c r="B133" s="602" t="s">
        <v>640</v>
      </c>
      <c r="C133" s="1034"/>
      <c r="D133" s="1032"/>
      <c r="E133" s="612">
        <f>E71</f>
        <v>0</v>
      </c>
      <c r="F133" s="601">
        <f>D133*E133</f>
        <v>0</v>
      </c>
    </row>
    <row r="134" spans="1:8">
      <c r="A134" s="601"/>
      <c r="B134" s="602"/>
      <c r="C134" s="596"/>
      <c r="D134" s="601"/>
      <c r="E134" s="607"/>
      <c r="F134" s="601"/>
    </row>
    <row r="135" spans="1:8" ht="15.75">
      <c r="C135" s="608" t="s">
        <v>1353</v>
      </c>
      <c r="D135" s="604">
        <f>SUM(D77:D134)</f>
        <v>70216.73</v>
      </c>
      <c r="F135" s="604">
        <f>SUM(F77:F134)</f>
        <v>70216.73</v>
      </c>
    </row>
    <row r="137" spans="1:8">
      <c r="A137" s="605"/>
      <c r="B137" s="605"/>
      <c r="C137" s="605"/>
      <c r="D137" s="605"/>
      <c r="E137" s="605"/>
      <c r="F137" s="605"/>
      <c r="G137" s="605"/>
      <c r="H137" s="605"/>
    </row>
    <row r="138" spans="1:8">
      <c r="A138" s="605"/>
      <c r="B138" s="605"/>
      <c r="C138" s="605"/>
      <c r="D138" s="605"/>
      <c r="E138" s="605"/>
      <c r="F138" s="605"/>
      <c r="G138" s="605"/>
      <c r="H138" s="605"/>
    </row>
    <row r="139" spans="1:8">
      <c r="A139" s="605"/>
      <c r="B139" s="605"/>
      <c r="C139" t="s">
        <v>533</v>
      </c>
      <c r="D139" s="605"/>
      <c r="E139" s="605"/>
      <c r="F139" s="605"/>
      <c r="G139" s="605"/>
      <c r="H139" s="605"/>
    </row>
    <row r="140" spans="1:8">
      <c r="A140" s="605"/>
      <c r="B140" s="605"/>
      <c r="C140" s="106" t="s">
        <v>1604</v>
      </c>
      <c r="D140" s="605"/>
      <c r="E140" s="605"/>
      <c r="F140" s="605"/>
      <c r="G140" s="605"/>
      <c r="H140" s="605"/>
    </row>
    <row r="141" spans="1:8">
      <c r="A141" s="605"/>
      <c r="B141" s="605"/>
      <c r="C141" s="605"/>
      <c r="D141" s="605"/>
      <c r="E141" s="605"/>
      <c r="F141" s="605"/>
      <c r="G141" s="605"/>
      <c r="H141" s="605"/>
    </row>
    <row r="142" spans="1:8">
      <c r="A142" s="605"/>
      <c r="B142" s="605"/>
      <c r="C142" s="605"/>
      <c r="D142" s="605"/>
      <c r="E142" s="605"/>
      <c r="F142" s="605"/>
      <c r="G142" s="605"/>
      <c r="H142" s="605"/>
    </row>
    <row r="143" spans="1:8">
      <c r="A143" s="605"/>
      <c r="B143" s="605"/>
      <c r="C143" s="605"/>
      <c r="D143" s="605"/>
      <c r="E143" s="605"/>
      <c r="F143" s="605"/>
      <c r="G143" s="605"/>
      <c r="H143" s="605"/>
    </row>
    <row r="144" spans="1:8">
      <c r="A144" s="605"/>
      <c r="B144" s="605"/>
      <c r="C144" s="605"/>
      <c r="D144" s="605"/>
      <c r="E144" s="605"/>
      <c r="F144" s="605"/>
      <c r="G144" s="605"/>
      <c r="H144" s="605"/>
    </row>
    <row r="145" spans="1:8">
      <c r="A145" s="605"/>
      <c r="B145" s="605"/>
      <c r="C145" s="605"/>
      <c r="D145" s="605"/>
      <c r="E145" s="605"/>
      <c r="F145" s="605"/>
      <c r="G145" s="605"/>
      <c r="H145" s="605"/>
    </row>
    <row r="146" spans="1:8">
      <c r="A146" s="605"/>
      <c r="B146" s="605"/>
      <c r="C146" s="605"/>
      <c r="D146" s="605"/>
      <c r="E146" s="605"/>
      <c r="F146" s="605"/>
      <c r="G146" s="605"/>
      <c r="H146" s="605"/>
    </row>
    <row r="147" spans="1:8">
      <c r="A147" s="605"/>
      <c r="B147" s="605"/>
      <c r="C147" s="605"/>
      <c r="D147" s="605"/>
      <c r="E147" s="605"/>
      <c r="F147" s="605"/>
      <c r="G147" s="605"/>
      <c r="H147" s="605"/>
    </row>
    <row r="148" spans="1:8">
      <c r="A148" s="605"/>
      <c r="B148" s="605"/>
      <c r="C148" s="605"/>
      <c r="D148" s="605"/>
      <c r="E148" s="605"/>
      <c r="F148" s="605"/>
      <c r="G148" s="605"/>
      <c r="H148" s="605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0.75" right="0.75" top="0.5" bottom="0.56999999999999995" header="0.5" footer="0.23"/>
  <pageSetup scale="65" fitToHeight="53" orientation="portrait" verticalDpi="300" r:id="rId1"/>
  <headerFooter alignWithMargins="0">
    <oddFooter>&amp;RSchedule &amp;A
Page &amp;P of &amp;N</oddFooter>
  </headerFooter>
  <rowBreaks count="1" manualBreakCount="1">
    <brk id="73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topLeftCell="A4" zoomScale="60" zoomScaleNormal="90" workbookViewId="0">
      <selection activeCell="G39" sqref="G39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19"/>
    </row>
    <row r="2" spans="1:13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19"/>
    </row>
    <row r="3" spans="1:13" ht="15.75">
      <c r="A3" s="1264" t="s">
        <v>1430</v>
      </c>
      <c r="B3" s="1264"/>
      <c r="C3" s="1264"/>
      <c r="D3" s="1264"/>
      <c r="E3" s="1264"/>
      <c r="F3" s="1264"/>
      <c r="G3" s="119"/>
    </row>
    <row r="4" spans="1:13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19"/>
    </row>
    <row r="5" spans="1:13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19"/>
    </row>
    <row r="6" spans="1:13" ht="15.75">
      <c r="A6" s="12"/>
      <c r="B6" s="12"/>
      <c r="C6" s="119"/>
      <c r="D6" s="119"/>
      <c r="F6" s="119"/>
      <c r="G6" s="119"/>
    </row>
    <row r="7" spans="1:13" ht="15.75">
      <c r="A7" s="95" t="s">
        <v>820</v>
      </c>
      <c r="B7" s="12"/>
      <c r="C7" s="12"/>
      <c r="D7" s="119"/>
      <c r="F7" s="491" t="s">
        <v>1504</v>
      </c>
      <c r="G7" s="119"/>
    </row>
    <row r="8" spans="1:13" ht="15.75">
      <c r="A8" s="95" t="s">
        <v>1143</v>
      </c>
      <c r="B8" s="12"/>
      <c r="C8" s="12"/>
      <c r="D8" s="119"/>
      <c r="F8" s="736" t="s">
        <v>148</v>
      </c>
      <c r="G8" s="119"/>
    </row>
    <row r="9" spans="1:13" ht="15.75">
      <c r="A9" s="95" t="s">
        <v>440</v>
      </c>
      <c r="B9" s="12"/>
      <c r="C9" s="12"/>
      <c r="D9" s="119"/>
      <c r="F9" s="737" t="str">
        <f>F.1!F9</f>
        <v>Witness: Waller</v>
      </c>
      <c r="G9" s="119"/>
    </row>
    <row r="10" spans="1:13">
      <c r="A10" s="164" t="s">
        <v>98</v>
      </c>
      <c r="B10" s="162"/>
      <c r="C10" s="162"/>
      <c r="D10" s="164" t="s">
        <v>101</v>
      </c>
      <c r="E10" s="162"/>
      <c r="F10" s="162"/>
      <c r="G10" s="119"/>
    </row>
    <row r="11" spans="1:13">
      <c r="A11" s="128" t="s">
        <v>104</v>
      </c>
      <c r="B11" s="128" t="s">
        <v>180</v>
      </c>
      <c r="C11" s="128" t="s">
        <v>95</v>
      </c>
      <c r="D11" s="128" t="s">
        <v>609</v>
      </c>
      <c r="E11" s="118" t="s">
        <v>182</v>
      </c>
      <c r="F11" s="128" t="s">
        <v>610</v>
      </c>
      <c r="G11" s="119"/>
    </row>
    <row r="12" spans="1:13">
      <c r="A12" s="119"/>
      <c r="B12" s="119"/>
      <c r="C12" s="119"/>
      <c r="D12" s="119"/>
      <c r="E12" s="119"/>
      <c r="F12" s="119"/>
      <c r="G12" s="119"/>
    </row>
    <row r="13" spans="1:13" ht="15.75">
      <c r="A13" s="119"/>
      <c r="B13" s="119"/>
      <c r="C13" s="611" t="s">
        <v>822</v>
      </c>
      <c r="D13" s="119"/>
      <c r="E13" s="119"/>
      <c r="F13" s="119"/>
      <c r="G13" s="119"/>
    </row>
    <row r="14" spans="1:13">
      <c r="A14" s="119"/>
      <c r="B14" s="119"/>
      <c r="C14" s="119"/>
      <c r="D14" s="119"/>
      <c r="E14" s="119"/>
      <c r="F14" s="119"/>
      <c r="G14" s="119"/>
    </row>
    <row r="15" spans="1:13">
      <c r="A15" s="131">
        <v>1</v>
      </c>
      <c r="B15" s="602" t="s">
        <v>640</v>
      </c>
      <c r="C15" s="1030" t="s">
        <v>1052</v>
      </c>
      <c r="D15" s="1031">
        <f>[18]F.2.1!D15</f>
        <v>46799.33</v>
      </c>
      <c r="E15" s="602" t="s">
        <v>1079</v>
      </c>
      <c r="F15" s="628">
        <f>D15</f>
        <v>46799.33</v>
      </c>
      <c r="G15" s="106"/>
      <c r="H15" s="106"/>
      <c r="I15" s="106"/>
      <c r="J15" s="106"/>
      <c r="K15" s="106"/>
      <c r="L15" s="106"/>
      <c r="M15" s="106"/>
    </row>
    <row r="16" spans="1:13">
      <c r="A16" s="131">
        <f t="shared" ref="A16:A23" si="0">A15+1</f>
        <v>2</v>
      </c>
      <c r="B16" s="602" t="s">
        <v>640</v>
      </c>
      <c r="C16" s="1030" t="s">
        <v>1053</v>
      </c>
      <c r="D16" s="1031">
        <f>[18]F.2.1!D16</f>
        <v>585</v>
      </c>
      <c r="E16" s="593"/>
      <c r="F16" s="601">
        <f t="shared" ref="F16:F24" si="1">D16</f>
        <v>585</v>
      </c>
      <c r="G16" s="106"/>
    </row>
    <row r="17" spans="1:13">
      <c r="A17" s="131">
        <f t="shared" si="0"/>
        <v>3</v>
      </c>
      <c r="B17" s="602" t="s">
        <v>640</v>
      </c>
      <c r="C17" s="1030" t="s">
        <v>449</v>
      </c>
      <c r="D17" s="1031">
        <f>[18]F.2.1!D17</f>
        <v>1000</v>
      </c>
      <c r="E17" s="593"/>
      <c r="F17" s="601">
        <f t="shared" si="1"/>
        <v>1000</v>
      </c>
      <c r="G17" s="106"/>
    </row>
    <row r="18" spans="1:13">
      <c r="A18" s="131">
        <f t="shared" si="0"/>
        <v>4</v>
      </c>
      <c r="B18" s="602" t="s">
        <v>640</v>
      </c>
      <c r="C18" s="1030" t="s">
        <v>977</v>
      </c>
      <c r="D18" s="1031">
        <f>[18]F.2.1!D18</f>
        <v>14850</v>
      </c>
      <c r="E18" s="593"/>
      <c r="F18" s="601">
        <f t="shared" si="1"/>
        <v>14850</v>
      </c>
      <c r="G18" s="106"/>
      <c r="H18" s="106"/>
      <c r="I18" s="106"/>
      <c r="J18" s="106"/>
      <c r="K18" s="106"/>
      <c r="L18" s="106"/>
      <c r="M18" s="106"/>
    </row>
    <row r="19" spans="1:13">
      <c r="A19" s="131">
        <f t="shared" si="0"/>
        <v>5</v>
      </c>
      <c r="B19" s="602" t="s">
        <v>640</v>
      </c>
      <c r="C19" s="1030" t="s">
        <v>978</v>
      </c>
      <c r="D19" s="1031">
        <f>[18]F.2.1!D19</f>
        <v>6000</v>
      </c>
      <c r="E19" s="593"/>
      <c r="F19" s="601">
        <f t="shared" si="1"/>
        <v>6000</v>
      </c>
      <c r="G19" s="106"/>
      <c r="H19" s="106"/>
      <c r="I19" s="106"/>
      <c r="J19" s="106"/>
      <c r="K19" s="106"/>
      <c r="L19" s="106"/>
      <c r="M19" s="106"/>
    </row>
    <row r="20" spans="1:13">
      <c r="A20" s="131">
        <f t="shared" si="0"/>
        <v>6</v>
      </c>
      <c r="B20" s="602" t="s">
        <v>640</v>
      </c>
      <c r="C20" s="1030" t="s">
        <v>1054</v>
      </c>
      <c r="D20" s="1031">
        <f>[18]F.2.1!D20</f>
        <v>73208</v>
      </c>
      <c r="E20" s="593"/>
      <c r="F20" s="601">
        <f t="shared" si="1"/>
        <v>73208</v>
      </c>
      <c r="G20" s="106"/>
      <c r="H20" s="106"/>
      <c r="I20" s="106"/>
      <c r="J20" s="106"/>
      <c r="K20" s="106"/>
      <c r="L20" s="106"/>
      <c r="M20" s="106"/>
    </row>
    <row r="21" spans="1:13">
      <c r="A21" s="131">
        <f t="shared" si="0"/>
        <v>7</v>
      </c>
      <c r="B21" s="602" t="s">
        <v>640</v>
      </c>
      <c r="C21" s="1033" t="s">
        <v>825</v>
      </c>
      <c r="D21" s="1031">
        <f>[18]F.2.1!D21</f>
        <v>0</v>
      </c>
      <c r="E21" s="593"/>
      <c r="F21" s="601">
        <f t="shared" si="1"/>
        <v>0</v>
      </c>
      <c r="G21" s="106"/>
      <c r="H21" s="106"/>
      <c r="I21" s="106"/>
      <c r="J21" s="106"/>
      <c r="K21" s="106"/>
      <c r="L21" s="106"/>
      <c r="M21" s="106"/>
    </row>
    <row r="22" spans="1:13">
      <c r="A22" s="131">
        <f t="shared" si="0"/>
        <v>8</v>
      </c>
      <c r="B22" s="602" t="s">
        <v>640</v>
      </c>
      <c r="C22" s="1033" t="s">
        <v>537</v>
      </c>
      <c r="D22" s="1031">
        <f>[18]F.2.1!D22</f>
        <v>500</v>
      </c>
      <c r="E22" s="593"/>
      <c r="F22" s="601">
        <f t="shared" si="1"/>
        <v>500</v>
      </c>
      <c r="G22" s="106"/>
      <c r="H22" s="106"/>
      <c r="I22" s="106"/>
      <c r="J22" s="106"/>
      <c r="K22" s="106"/>
      <c r="L22" s="106"/>
      <c r="M22" s="106"/>
    </row>
    <row r="23" spans="1:13">
      <c r="A23" s="131">
        <f t="shared" si="0"/>
        <v>9</v>
      </c>
      <c r="B23" s="602" t="s">
        <v>640</v>
      </c>
      <c r="C23" s="1033" t="s">
        <v>1291</v>
      </c>
      <c r="D23" s="1031">
        <f>[18]F.2.1!D23</f>
        <v>232793</v>
      </c>
      <c r="E23" s="593"/>
      <c r="F23" s="601">
        <f t="shared" si="1"/>
        <v>232793</v>
      </c>
      <c r="G23" s="106"/>
      <c r="H23" s="106"/>
      <c r="I23" s="106"/>
      <c r="J23" s="106"/>
      <c r="K23" s="106"/>
      <c r="L23" s="106"/>
      <c r="M23" s="106"/>
    </row>
    <row r="24" spans="1:13">
      <c r="A24" s="119"/>
      <c r="B24" s="593"/>
      <c r="C24" s="602" t="s">
        <v>101</v>
      </c>
      <c r="D24" s="735">
        <f>SUM(D15:D23,0)</f>
        <v>375735.33</v>
      </c>
      <c r="E24" s="593"/>
      <c r="F24" s="735">
        <f t="shared" si="1"/>
        <v>375735.33</v>
      </c>
      <c r="G24" s="119"/>
      <c r="H24" s="106"/>
      <c r="I24" s="106"/>
      <c r="J24" s="106"/>
      <c r="K24" s="106"/>
      <c r="L24" s="106"/>
      <c r="M24" s="106"/>
    </row>
    <row r="25" spans="1:13">
      <c r="A25" s="119"/>
      <c r="B25" s="119"/>
      <c r="C25" s="119"/>
      <c r="D25" s="119"/>
      <c r="E25" s="119"/>
      <c r="F25" s="119"/>
      <c r="G25" s="119"/>
      <c r="H25" s="106"/>
      <c r="I25" s="106"/>
      <c r="J25" s="106"/>
      <c r="K25" s="106"/>
      <c r="L25" s="106"/>
      <c r="M25" s="106"/>
    </row>
    <row r="26" spans="1:13" ht="15.75">
      <c r="A26" s="119"/>
      <c r="B26" s="593"/>
      <c r="C26" s="611" t="s">
        <v>1431</v>
      </c>
      <c r="D26" s="620"/>
      <c r="E26" s="593"/>
      <c r="F26" s="620"/>
      <c r="G26" s="119"/>
      <c r="H26" s="106"/>
      <c r="I26" s="106"/>
      <c r="J26" s="106"/>
      <c r="K26" s="106"/>
      <c r="L26" s="106"/>
      <c r="M26" s="106"/>
    </row>
    <row r="27" spans="1:13">
      <c r="A27" s="119"/>
      <c r="B27" s="593"/>
      <c r="C27" s="602"/>
      <c r="D27" s="620"/>
      <c r="E27" s="593"/>
      <c r="F27" s="620"/>
      <c r="G27" s="119"/>
      <c r="H27" s="106"/>
      <c r="I27" s="106"/>
      <c r="J27" s="106"/>
      <c r="K27" s="106"/>
      <c r="L27" s="106"/>
      <c r="M27" s="106"/>
    </row>
    <row r="28" spans="1:13">
      <c r="A28" s="131">
        <v>1</v>
      </c>
      <c r="B28" s="602" t="s">
        <v>640</v>
      </c>
      <c r="C28" s="1030" t="s">
        <v>1052</v>
      </c>
      <c r="D28" s="1031">
        <f>[18]F.2.1!D29</f>
        <v>46799.33</v>
      </c>
      <c r="E28" s="602" t="s">
        <v>1079</v>
      </c>
      <c r="F28" s="628">
        <f t="shared" ref="F28:F37" si="2">D28</f>
        <v>46799.33</v>
      </c>
      <c r="G28" s="119"/>
      <c r="H28" s="106"/>
      <c r="I28" s="106"/>
      <c r="J28" s="106"/>
      <c r="K28" s="106"/>
      <c r="L28" s="106"/>
      <c r="M28" s="106"/>
    </row>
    <row r="29" spans="1:13">
      <c r="A29" s="131">
        <f t="shared" ref="A29:A36" si="3">A28+1</f>
        <v>2</v>
      </c>
      <c r="B29" s="602" t="s">
        <v>640</v>
      </c>
      <c r="C29" s="1030" t="s">
        <v>1053</v>
      </c>
      <c r="D29" s="1031">
        <f>[18]F.2.1!D30</f>
        <v>585</v>
      </c>
      <c r="E29" s="593"/>
      <c r="F29" s="601">
        <f t="shared" si="2"/>
        <v>585</v>
      </c>
      <c r="G29" s="119"/>
      <c r="H29" s="106"/>
      <c r="I29" s="106"/>
      <c r="J29" s="106"/>
      <c r="K29" s="106"/>
      <c r="L29" s="106"/>
      <c r="M29" s="106"/>
    </row>
    <row r="30" spans="1:13">
      <c r="A30" s="131">
        <f t="shared" si="3"/>
        <v>3</v>
      </c>
      <c r="B30" s="602" t="s">
        <v>640</v>
      </c>
      <c r="C30" s="1030" t="s">
        <v>449</v>
      </c>
      <c r="D30" s="1031">
        <f>[18]F.2.1!D31</f>
        <v>1000</v>
      </c>
      <c r="E30" s="593"/>
      <c r="F30" s="601">
        <f t="shared" si="2"/>
        <v>1000</v>
      </c>
      <c r="G30" s="119"/>
      <c r="H30" s="106"/>
      <c r="I30" s="106"/>
      <c r="J30" s="106"/>
      <c r="K30" s="106"/>
      <c r="L30" s="106"/>
      <c r="M30" s="106"/>
    </row>
    <row r="31" spans="1:13">
      <c r="A31" s="131">
        <f t="shared" si="3"/>
        <v>4</v>
      </c>
      <c r="B31" s="602" t="s">
        <v>640</v>
      </c>
      <c r="C31" s="1030" t="s">
        <v>977</v>
      </c>
      <c r="D31" s="1031">
        <f>[18]F.2.1!D32</f>
        <v>14850</v>
      </c>
      <c r="E31" s="593"/>
      <c r="F31" s="601">
        <f t="shared" si="2"/>
        <v>14850</v>
      </c>
      <c r="G31" s="119"/>
      <c r="H31" s="106"/>
      <c r="I31" s="106"/>
      <c r="J31" s="106"/>
      <c r="K31" s="106"/>
      <c r="L31" s="106"/>
      <c r="M31" s="106"/>
    </row>
    <row r="32" spans="1:13">
      <c r="A32" s="131">
        <f t="shared" si="3"/>
        <v>5</v>
      </c>
      <c r="B32" s="602" t="s">
        <v>640</v>
      </c>
      <c r="C32" s="1030" t="s">
        <v>978</v>
      </c>
      <c r="D32" s="1031">
        <f>[18]F.2.1!D33</f>
        <v>6000</v>
      </c>
      <c r="E32" s="593"/>
      <c r="F32" s="601">
        <f t="shared" si="2"/>
        <v>6000</v>
      </c>
      <c r="G32" s="119"/>
      <c r="H32" s="106"/>
      <c r="I32" s="106"/>
      <c r="J32" s="106"/>
      <c r="K32" s="106"/>
      <c r="L32" s="106"/>
      <c r="M32" s="106"/>
    </row>
    <row r="33" spans="1:13">
      <c r="A33" s="131">
        <f t="shared" si="3"/>
        <v>6</v>
      </c>
      <c r="B33" s="602" t="s">
        <v>640</v>
      </c>
      <c r="C33" s="1030" t="s">
        <v>1054</v>
      </c>
      <c r="D33" s="1031">
        <f>[18]F.2.1!D34</f>
        <v>73208</v>
      </c>
      <c r="E33" s="593"/>
      <c r="F33" s="601">
        <f t="shared" si="2"/>
        <v>73208</v>
      </c>
      <c r="G33" s="119"/>
      <c r="H33" s="106"/>
      <c r="I33" s="106"/>
      <c r="J33" s="106"/>
      <c r="K33" s="106"/>
      <c r="L33" s="106"/>
      <c r="M33" s="106"/>
    </row>
    <row r="34" spans="1:13">
      <c r="A34" s="131">
        <f t="shared" si="3"/>
        <v>7</v>
      </c>
      <c r="B34" s="602" t="s">
        <v>640</v>
      </c>
      <c r="C34" s="1033" t="s">
        <v>825</v>
      </c>
      <c r="D34" s="1031">
        <f>[18]F.2.1!D35</f>
        <v>0</v>
      </c>
      <c r="E34" s="593"/>
      <c r="F34" s="601">
        <f t="shared" si="2"/>
        <v>0</v>
      </c>
      <c r="G34" s="119"/>
      <c r="H34" s="106"/>
      <c r="I34" s="106"/>
      <c r="J34" s="106"/>
      <c r="K34" s="106"/>
      <c r="L34" s="106"/>
      <c r="M34" s="106"/>
    </row>
    <row r="35" spans="1:13">
      <c r="A35" s="131">
        <f t="shared" si="3"/>
        <v>8</v>
      </c>
      <c r="B35" s="602" t="s">
        <v>640</v>
      </c>
      <c r="C35" s="1033" t="s">
        <v>537</v>
      </c>
      <c r="D35" s="1031">
        <f>[18]F.2.1!D36</f>
        <v>500</v>
      </c>
      <c r="E35" s="593"/>
      <c r="F35" s="601">
        <f t="shared" si="2"/>
        <v>500</v>
      </c>
      <c r="G35" s="119"/>
      <c r="H35" s="106"/>
      <c r="I35" s="106"/>
      <c r="J35" s="106"/>
      <c r="K35" s="106"/>
      <c r="L35" s="106"/>
      <c r="M35" s="106"/>
    </row>
    <row r="36" spans="1:13">
      <c r="A36" s="131">
        <f t="shared" si="3"/>
        <v>9</v>
      </c>
      <c r="B36" s="602" t="s">
        <v>640</v>
      </c>
      <c r="C36" s="1033" t="s">
        <v>1291</v>
      </c>
      <c r="D36" s="1031">
        <f>[18]F.2.1!D37</f>
        <v>232793</v>
      </c>
      <c r="E36" s="593"/>
      <c r="F36" s="601">
        <f t="shared" si="2"/>
        <v>232793</v>
      </c>
      <c r="G36" s="119"/>
      <c r="H36" s="106"/>
      <c r="I36" s="106"/>
      <c r="J36" s="106"/>
      <c r="K36" s="106"/>
      <c r="L36" s="106"/>
      <c r="M36" s="106"/>
    </row>
    <row r="37" spans="1:13">
      <c r="A37" s="119"/>
      <c r="B37" s="593"/>
      <c r="C37" s="602" t="s">
        <v>101</v>
      </c>
      <c r="D37" s="735">
        <f>SUM(D28:D36,0)</f>
        <v>375735.33</v>
      </c>
      <c r="E37" s="593"/>
      <c r="F37" s="735">
        <f t="shared" si="2"/>
        <v>375735.33</v>
      </c>
      <c r="G37" s="119"/>
      <c r="H37" s="106"/>
      <c r="I37" s="106"/>
      <c r="J37" s="106"/>
      <c r="K37" s="106"/>
      <c r="L37" s="106"/>
      <c r="M37" s="106"/>
    </row>
    <row r="38" spans="1:13">
      <c r="A38" s="119"/>
      <c r="B38" s="119"/>
      <c r="C38" s="119"/>
      <c r="D38" s="119"/>
      <c r="E38" s="119"/>
      <c r="F38" s="119"/>
      <c r="G38" s="119"/>
      <c r="H38" s="106"/>
      <c r="I38" s="106"/>
      <c r="J38" s="106"/>
      <c r="K38" s="106"/>
      <c r="L38" s="106"/>
      <c r="M38" s="106"/>
    </row>
    <row r="39" spans="1:13" ht="15.75">
      <c r="A39" s="12"/>
      <c r="B39" s="119"/>
      <c r="C39" s="119"/>
      <c r="D39" s="119"/>
      <c r="E39" s="119"/>
      <c r="F39" s="119"/>
      <c r="G39" s="119"/>
      <c r="H39" s="106"/>
      <c r="I39" s="106"/>
      <c r="J39" s="106"/>
      <c r="K39" s="106"/>
      <c r="L39" s="106"/>
      <c r="M39" s="106"/>
    </row>
    <row r="40" spans="1:13">
      <c r="B40" s="123" t="s">
        <v>422</v>
      </c>
      <c r="G40" s="119"/>
      <c r="H40" s="106"/>
      <c r="I40" s="106"/>
      <c r="J40" s="106"/>
      <c r="K40" s="106"/>
      <c r="L40" s="106"/>
      <c r="M40" s="106"/>
    </row>
    <row r="41" spans="1:13">
      <c r="A41" s="119"/>
      <c r="B41" s="119"/>
      <c r="C41" s="119"/>
      <c r="D41" s="119"/>
      <c r="E41" s="119"/>
      <c r="F41" s="119"/>
      <c r="G41" s="119"/>
      <c r="H41" s="106"/>
      <c r="I41" s="106"/>
      <c r="J41" s="106"/>
      <c r="K41" s="106"/>
      <c r="L41" s="106"/>
      <c r="M41" s="106"/>
    </row>
    <row r="42" spans="1:13">
      <c r="H42" s="106"/>
      <c r="I42" s="106"/>
      <c r="J42" s="106"/>
      <c r="K42" s="106"/>
      <c r="L42" s="106"/>
      <c r="M42" s="106"/>
    </row>
    <row r="43" spans="1:13">
      <c r="B43" t="s">
        <v>533</v>
      </c>
      <c r="H43" s="106"/>
      <c r="I43" s="106"/>
      <c r="J43" s="106"/>
      <c r="K43" s="106"/>
      <c r="L43" s="106"/>
      <c r="M43" s="106"/>
    </row>
    <row r="44" spans="1:13">
      <c r="B44" t="s">
        <v>1603</v>
      </c>
      <c r="H44" s="106"/>
      <c r="I44" s="106"/>
      <c r="J44" s="106"/>
      <c r="K44" s="106"/>
      <c r="L44" s="106"/>
      <c r="M44" s="106"/>
    </row>
    <row r="45" spans="1:13">
      <c r="H45" s="106"/>
      <c r="I45" s="106"/>
      <c r="J45" s="106"/>
      <c r="K45" s="106"/>
      <c r="L45" s="106"/>
      <c r="M45" s="106"/>
    </row>
    <row r="46" spans="1:13">
      <c r="H46" s="106"/>
      <c r="I46" s="106"/>
      <c r="J46" s="106"/>
      <c r="K46" s="106"/>
      <c r="L46" s="106"/>
      <c r="M46" s="106"/>
    </row>
    <row r="47" spans="1:13">
      <c r="H47" s="106"/>
      <c r="I47" s="106"/>
      <c r="J47" s="106"/>
      <c r="K47" s="106"/>
      <c r="L47" s="106"/>
      <c r="M47" s="106"/>
    </row>
    <row r="48" spans="1:13">
      <c r="H48" s="106"/>
      <c r="I48" s="106"/>
      <c r="J48" s="106"/>
      <c r="K48" s="106"/>
      <c r="L48" s="106"/>
      <c r="M48" s="106"/>
    </row>
    <row r="49" spans="8:13">
      <c r="H49" s="106"/>
      <c r="I49" s="106"/>
      <c r="J49" s="106"/>
      <c r="K49" s="106"/>
      <c r="L49" s="106"/>
      <c r="M49" s="106"/>
    </row>
    <row r="50" spans="8:13">
      <c r="H50" s="106"/>
      <c r="I50" s="106"/>
      <c r="J50" s="106"/>
      <c r="K50" s="106"/>
      <c r="L50" s="106"/>
      <c r="M50" s="106"/>
    </row>
    <row r="51" spans="8:13">
      <c r="H51" s="106"/>
      <c r="I51" s="106"/>
      <c r="J51" s="106"/>
      <c r="K51" s="106"/>
      <c r="L51" s="106"/>
      <c r="M51" s="106"/>
    </row>
    <row r="52" spans="8:13">
      <c r="H52" s="106"/>
      <c r="I52" s="106"/>
      <c r="J52" s="106"/>
      <c r="K52" s="106"/>
      <c r="L52" s="106"/>
      <c r="M52" s="106"/>
    </row>
    <row r="53" spans="8:13">
      <c r="H53" s="106"/>
      <c r="I53" s="106"/>
      <c r="J53" s="106"/>
      <c r="K53" s="106"/>
      <c r="L53" s="106"/>
      <c r="M53" s="106"/>
    </row>
    <row r="54" spans="8:13">
      <c r="H54" s="106"/>
      <c r="I54" s="106"/>
      <c r="J54" s="106"/>
      <c r="K54" s="106"/>
      <c r="L54" s="106"/>
      <c r="M54" s="106"/>
    </row>
    <row r="55" spans="8:13">
      <c r="H55" s="106"/>
      <c r="I55" s="106"/>
      <c r="J55" s="106"/>
      <c r="K55" s="106"/>
      <c r="L55" s="106"/>
      <c r="M55" s="106"/>
    </row>
    <row r="56" spans="8:13">
      <c r="H56" s="106"/>
      <c r="I56" s="106"/>
      <c r="J56" s="106"/>
      <c r="K56" s="106"/>
      <c r="L56" s="106"/>
      <c r="M56" s="106"/>
    </row>
    <row r="57" spans="8:13">
      <c r="H57" s="106"/>
      <c r="I57" s="106"/>
      <c r="J57" s="106"/>
      <c r="K57" s="106"/>
      <c r="L57" s="106"/>
      <c r="M57" s="106"/>
    </row>
    <row r="58" spans="8:13">
      <c r="H58" s="106"/>
      <c r="I58" s="106"/>
      <c r="J58" s="106"/>
      <c r="K58" s="106"/>
      <c r="L58" s="106"/>
      <c r="M58" s="106"/>
    </row>
    <row r="59" spans="8:13">
      <c r="H59" s="106"/>
      <c r="I59" s="106"/>
      <c r="J59" s="106"/>
      <c r="K59" s="106"/>
      <c r="L59" s="106"/>
      <c r="M59" s="106"/>
    </row>
    <row r="60" spans="8:13">
      <c r="H60" s="106"/>
      <c r="I60" s="106"/>
      <c r="J60" s="106"/>
      <c r="K60" s="106"/>
      <c r="L60" s="106"/>
      <c r="M60" s="106"/>
    </row>
    <row r="61" spans="8:13">
      <c r="H61" s="106"/>
      <c r="I61" s="106"/>
      <c r="J61" s="106"/>
      <c r="K61" s="106"/>
      <c r="L61" s="106"/>
      <c r="M61" s="106"/>
    </row>
    <row r="62" spans="8:13">
      <c r="H62" s="106"/>
      <c r="I62" s="106"/>
      <c r="J62" s="106"/>
      <c r="K62" s="106"/>
      <c r="L62" s="106"/>
      <c r="M62" s="106"/>
    </row>
    <row r="63" spans="8:13">
      <c r="H63" s="106"/>
      <c r="I63" s="106"/>
      <c r="J63" s="106"/>
      <c r="K63" s="106"/>
      <c r="L63" s="106"/>
      <c r="M63" s="106"/>
    </row>
    <row r="64" spans="8:13">
      <c r="H64" s="106"/>
      <c r="I64" s="106"/>
      <c r="J64" s="106"/>
      <c r="K64" s="106"/>
      <c r="L64" s="106"/>
      <c r="M64" s="106"/>
    </row>
    <row r="65" spans="8:13">
      <c r="H65" s="106"/>
      <c r="I65" s="106"/>
      <c r="J65" s="106"/>
      <c r="K65" s="106"/>
      <c r="L65" s="106"/>
      <c r="M65" s="106"/>
    </row>
    <row r="66" spans="8:13">
      <c r="H66" s="106"/>
      <c r="I66" s="106"/>
      <c r="J66" s="106"/>
      <c r="K66" s="106"/>
      <c r="L66" s="106"/>
      <c r="M66" s="106"/>
    </row>
    <row r="67" spans="8:13">
      <c r="H67" s="106"/>
      <c r="I67" s="106"/>
      <c r="J67" s="106"/>
      <c r="K67" s="106"/>
      <c r="L67" s="106"/>
      <c r="M67" s="106"/>
    </row>
    <row r="68" spans="8:13">
      <c r="H68" s="106"/>
      <c r="I68" s="106"/>
      <c r="J68" s="106"/>
      <c r="K68" s="106"/>
      <c r="L68" s="106"/>
      <c r="M68" s="106"/>
    </row>
    <row r="69" spans="8:13">
      <c r="H69" s="106"/>
      <c r="I69" s="106"/>
      <c r="J69" s="106"/>
      <c r="K69" s="106"/>
      <c r="L69" s="106"/>
      <c r="M69" s="106"/>
    </row>
    <row r="70" spans="8:13">
      <c r="H70" s="106"/>
      <c r="I70" s="106"/>
      <c r="J70" s="106"/>
      <c r="K70" s="106"/>
      <c r="L70" s="106"/>
      <c r="M70" s="106"/>
    </row>
    <row r="71" spans="8:13">
      <c r="H71" s="106"/>
      <c r="I71" s="106"/>
      <c r="J71" s="106"/>
      <c r="K71" s="106"/>
      <c r="L71" s="106"/>
      <c r="M71" s="106"/>
    </row>
    <row r="72" spans="8:13">
      <c r="H72" s="106"/>
      <c r="I72" s="106"/>
      <c r="J72" s="106"/>
      <c r="K72" s="106"/>
      <c r="L72" s="106"/>
      <c r="M72" s="106"/>
    </row>
    <row r="73" spans="8:13">
      <c r="H73" s="106"/>
      <c r="I73" s="106"/>
      <c r="J73" s="106"/>
      <c r="K73" s="106"/>
      <c r="L73" s="106"/>
      <c r="M73" s="106"/>
    </row>
    <row r="74" spans="8:13">
      <c r="H74" s="106"/>
      <c r="I74" s="106"/>
      <c r="J74" s="106"/>
      <c r="K74" s="106"/>
      <c r="L74" s="106"/>
      <c r="M74" s="106"/>
    </row>
    <row r="75" spans="8:13">
      <c r="H75" s="106"/>
      <c r="I75" s="106"/>
      <c r="J75" s="106"/>
      <c r="K75" s="106"/>
      <c r="L75" s="106"/>
      <c r="M75" s="106"/>
    </row>
    <row r="76" spans="8:13">
      <c r="H76" s="106"/>
      <c r="I76" s="106"/>
      <c r="J76" s="106"/>
      <c r="K76" s="106"/>
      <c r="L76" s="106"/>
      <c r="M76" s="106"/>
    </row>
    <row r="77" spans="8:13">
      <c r="H77" s="106"/>
      <c r="I77" s="106"/>
      <c r="J77" s="106"/>
      <c r="K77" s="106"/>
      <c r="L77" s="106"/>
      <c r="M77" s="106"/>
    </row>
    <row r="78" spans="8:13">
      <c r="H78" s="106"/>
      <c r="I78" s="106"/>
      <c r="J78" s="106"/>
      <c r="K78" s="106"/>
      <c r="L78" s="106"/>
      <c r="M78" s="106"/>
    </row>
    <row r="79" spans="8:13">
      <c r="H79" s="106"/>
      <c r="I79" s="106"/>
      <c r="J79" s="106"/>
      <c r="K79" s="106"/>
      <c r="L79" s="106"/>
      <c r="M79" s="106"/>
    </row>
    <row r="80" spans="8:13">
      <c r="H80" s="106"/>
      <c r="I80" s="106"/>
      <c r="J80" s="106"/>
      <c r="K80" s="106"/>
      <c r="L80" s="106"/>
      <c r="M80" s="106"/>
    </row>
    <row r="81" spans="8:13">
      <c r="H81" s="106"/>
      <c r="I81" s="106"/>
      <c r="J81" s="106"/>
      <c r="K81" s="106"/>
      <c r="L81" s="106"/>
      <c r="M81" s="106"/>
    </row>
    <row r="82" spans="8:13">
      <c r="H82" s="106"/>
      <c r="I82" s="106"/>
      <c r="J82" s="106"/>
      <c r="K82" s="106"/>
      <c r="L82" s="106"/>
      <c r="M82" s="106"/>
    </row>
    <row r="83" spans="8:13">
      <c r="H83" s="106"/>
      <c r="I83" s="106"/>
      <c r="J83" s="106"/>
      <c r="K83" s="106"/>
      <c r="L83" s="106"/>
      <c r="M83" s="106"/>
    </row>
    <row r="84" spans="8:13">
      <c r="H84" s="106"/>
      <c r="I84" s="106"/>
      <c r="J84" s="106"/>
      <c r="K84" s="106"/>
      <c r="L84" s="106"/>
      <c r="M84" s="106"/>
    </row>
  </sheetData>
  <mergeCells count="5">
    <mergeCell ref="A5:F5"/>
    <mergeCell ref="A1:F1"/>
    <mergeCell ref="A2:F2"/>
    <mergeCell ref="A3:F3"/>
    <mergeCell ref="A4:F4"/>
  </mergeCells>
  <phoneticPr fontId="24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topLeftCell="A7" zoomScale="60" zoomScaleNormal="90" workbookViewId="0">
      <selection activeCell="D16" sqref="D16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244" t="str">
        <f>'Table of Contents'!A1:C1</f>
        <v>Atmos Energy Corporation, Kentucky/Mid-States Division</v>
      </c>
      <c r="B1" s="1244"/>
      <c r="C1" s="1244"/>
      <c r="D1" s="1244"/>
      <c r="E1" s="1244"/>
      <c r="F1" s="1244"/>
      <c r="G1" s="1244"/>
      <c r="H1" s="1244"/>
      <c r="I1" s="1244"/>
      <c r="J1" s="1244"/>
    </row>
    <row r="2" spans="1:14" ht="15.75">
      <c r="A2" s="1244" t="str">
        <f>'Table of Contents'!A2:C2</f>
        <v>Kentucky Jurisdiction Case No. 2015-00343</v>
      </c>
      <c r="B2" s="1244"/>
      <c r="C2" s="1244"/>
      <c r="D2" s="1244"/>
      <c r="E2" s="1244"/>
      <c r="F2" s="1244"/>
      <c r="G2" s="1244"/>
      <c r="H2" s="1244"/>
      <c r="I2" s="1244"/>
      <c r="J2" s="1244"/>
    </row>
    <row r="3" spans="1:14" ht="15.75">
      <c r="A3" s="1244" t="s">
        <v>794</v>
      </c>
      <c r="B3" s="1244"/>
      <c r="C3" s="1244"/>
      <c r="D3" s="1244"/>
      <c r="E3" s="1244"/>
      <c r="F3" s="1244"/>
      <c r="G3" s="1244"/>
      <c r="H3" s="1244"/>
      <c r="I3" s="1244"/>
      <c r="J3" s="1244"/>
    </row>
    <row r="4" spans="1:14" ht="15.75">
      <c r="A4" s="1244" t="str">
        <f>'Table of Contents'!A3:C3</f>
        <v>Base Period: Twelve Months Ended February 29, 2016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14" ht="15.75">
      <c r="A5" s="1244" t="str">
        <f>'Table of Contents'!A4:C4</f>
        <v>Forecasted Test Period: Twelve Months Ended May 31, 2017</v>
      </c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14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14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4" ht="15.75">
      <c r="A8" s="95" t="s">
        <v>495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14" ht="15.75">
      <c r="A9" s="95" t="s">
        <v>1143</v>
      </c>
      <c r="B9" s="12"/>
      <c r="C9" s="119"/>
      <c r="D9" s="119"/>
      <c r="E9" s="119"/>
      <c r="F9" s="119"/>
      <c r="G9" s="119"/>
      <c r="H9" s="119"/>
      <c r="J9" s="736" t="s">
        <v>496</v>
      </c>
    </row>
    <row r="10" spans="1:14" ht="15.75">
      <c r="A10" s="95" t="s">
        <v>440</v>
      </c>
      <c r="B10" s="12"/>
      <c r="C10" s="119"/>
      <c r="D10" s="119"/>
      <c r="E10" s="119"/>
      <c r="F10" s="119"/>
      <c r="G10" s="119"/>
      <c r="H10" s="119"/>
      <c r="I10" s="81"/>
      <c r="J10" s="737" t="str">
        <f>F.1!F9</f>
        <v>Witness: Waller</v>
      </c>
    </row>
    <row r="11" spans="1:14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14">
      <c r="A12" s="117" t="s">
        <v>98</v>
      </c>
      <c r="B12" s="119"/>
      <c r="C12" s="127" t="s">
        <v>497</v>
      </c>
      <c r="D12" s="127" t="s">
        <v>101</v>
      </c>
      <c r="E12" s="119"/>
      <c r="F12" s="119"/>
      <c r="G12" s="119"/>
      <c r="H12" s="127" t="s">
        <v>101</v>
      </c>
      <c r="I12" s="119"/>
      <c r="J12" s="119"/>
    </row>
    <row r="13" spans="1:14">
      <c r="A13" s="118" t="s">
        <v>104</v>
      </c>
      <c r="B13" s="128" t="s">
        <v>180</v>
      </c>
      <c r="C13" s="128" t="s">
        <v>299</v>
      </c>
      <c r="D13" s="128" t="s">
        <v>609</v>
      </c>
      <c r="E13" s="128" t="s">
        <v>182</v>
      </c>
      <c r="F13" s="128" t="s">
        <v>610</v>
      </c>
      <c r="G13" s="124"/>
      <c r="H13" s="128" t="s">
        <v>609</v>
      </c>
      <c r="I13" s="128" t="s">
        <v>182</v>
      </c>
      <c r="J13" s="118" t="s">
        <v>610</v>
      </c>
    </row>
    <row r="14" spans="1:14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4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06"/>
      <c r="L15" s="106"/>
      <c r="M15" s="106"/>
      <c r="N15" s="106"/>
    </row>
    <row r="16" spans="1:14">
      <c r="A16" s="117">
        <v>1</v>
      </c>
      <c r="B16" s="117" t="s">
        <v>640</v>
      </c>
      <c r="C16" s="1037" t="s">
        <v>78</v>
      </c>
      <c r="D16" s="1038">
        <f>[19]F.2.2!$D$16</f>
        <v>0</v>
      </c>
      <c r="E16" s="2" t="s">
        <v>1079</v>
      </c>
      <c r="F16" s="739">
        <f>D16</f>
        <v>0</v>
      </c>
      <c r="G16" s="119"/>
      <c r="H16" s="739">
        <f>D16</f>
        <v>0</v>
      </c>
      <c r="I16" s="160" t="s">
        <v>1079</v>
      </c>
      <c r="J16" s="739">
        <f>H16</f>
        <v>0</v>
      </c>
      <c r="K16" s="106"/>
      <c r="L16" s="106"/>
      <c r="M16" s="106"/>
      <c r="N16" s="106"/>
    </row>
    <row r="17" spans="1:14">
      <c r="A17" s="119"/>
      <c r="B17" s="119"/>
      <c r="C17" s="119" t="s">
        <v>79</v>
      </c>
      <c r="D17" s="119"/>
      <c r="E17" s="119"/>
      <c r="F17" s="119"/>
      <c r="G17" s="119"/>
      <c r="H17" s="119"/>
      <c r="I17" s="119"/>
      <c r="J17" s="119"/>
      <c r="K17" s="106"/>
      <c r="L17" s="106"/>
      <c r="M17" s="106"/>
      <c r="N17" s="106"/>
    </row>
    <row r="18" spans="1:14">
      <c r="A18" s="167">
        <v>2</v>
      </c>
      <c r="B18" s="117" t="s">
        <v>640</v>
      </c>
      <c r="C18" s="1037" t="s">
        <v>80</v>
      </c>
      <c r="D18" s="1039">
        <f>[19]F.2.2!$D$18</f>
        <v>0</v>
      </c>
      <c r="E18" s="119"/>
      <c r="F18" s="131">
        <f>D18</f>
        <v>0</v>
      </c>
      <c r="G18" s="119"/>
      <c r="H18" s="131">
        <v>0</v>
      </c>
      <c r="I18" s="119"/>
      <c r="J18" s="131">
        <f>H18</f>
        <v>0</v>
      </c>
      <c r="K18" s="106"/>
      <c r="L18" s="106"/>
      <c r="M18" s="106"/>
      <c r="N18" s="106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06"/>
      <c r="L19" s="106"/>
      <c r="M19" s="106"/>
      <c r="N19" s="106"/>
    </row>
    <row r="20" spans="1:14" ht="15.75" thickBot="1">
      <c r="A20" s="168">
        <v>3</v>
      </c>
      <c r="B20" s="119"/>
      <c r="C20" s="117" t="s">
        <v>410</v>
      </c>
      <c r="D20" s="740">
        <f>SUM(D16:D18)</f>
        <v>0</v>
      </c>
      <c r="E20" s="119"/>
      <c r="F20" s="740">
        <f>SUM(F16:F18)</f>
        <v>0</v>
      </c>
      <c r="G20" s="119"/>
      <c r="H20" s="740">
        <f>SUM(H16:H18)</f>
        <v>0</v>
      </c>
      <c r="I20" s="119"/>
      <c r="J20" s="740">
        <f>SUM(J16:J18)</f>
        <v>0</v>
      </c>
      <c r="K20" s="106"/>
      <c r="L20" s="106"/>
      <c r="M20" s="106"/>
      <c r="N20" s="106"/>
    </row>
    <row r="21" spans="1:14" ht="15.75" thickTop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</row>
    <row r="22" spans="1:14">
      <c r="A22" s="117" t="s">
        <v>332</v>
      </c>
      <c r="B22" s="119"/>
      <c r="C22" s="119"/>
      <c r="D22" s="119"/>
      <c r="E22" s="119"/>
      <c r="F22" s="119"/>
      <c r="G22" s="119"/>
      <c r="H22" s="119"/>
      <c r="I22" s="119"/>
      <c r="J22" s="119"/>
    </row>
    <row r="23" spans="1:14">
      <c r="A23" s="119"/>
      <c r="B23" s="119"/>
      <c r="C23" s="119"/>
      <c r="D23" s="119"/>
      <c r="E23" s="119"/>
      <c r="F23" s="119"/>
      <c r="G23" s="119"/>
      <c r="H23" s="119"/>
      <c r="I23" s="119"/>
      <c r="J23" s="119"/>
    </row>
    <row r="24" spans="1:14">
      <c r="A24" s="95" t="s">
        <v>1251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4">
      <c r="A25" s="119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4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4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4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30" spans="1:14">
      <c r="B30" t="s">
        <v>533</v>
      </c>
    </row>
    <row r="31" spans="1:14">
      <c r="B31" t="s">
        <v>1605</v>
      </c>
    </row>
    <row r="35" spans="2:2">
      <c r="B35" s="771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Z40"/>
  <sheetViews>
    <sheetView view="pageBreakPreview" zoomScale="60" zoomScaleNormal="90" workbookViewId="0">
      <selection activeCell="G39" sqref="G39"/>
    </sheetView>
  </sheetViews>
  <sheetFormatPr defaultRowHeight="15"/>
  <cols>
    <col min="1" max="1" width="4.44140625" customWidth="1"/>
    <col min="2" max="2" width="10.6640625" customWidth="1"/>
    <col min="3" max="3" width="35.77734375" customWidth="1"/>
    <col min="4" max="6" width="12" bestFit="1" customWidth="1"/>
    <col min="7" max="7" width="4.5546875" customWidth="1"/>
    <col min="8" max="8" width="11" bestFit="1" customWidth="1"/>
    <col min="9" max="9" width="11.6640625" customWidth="1"/>
    <col min="10" max="10" width="12" bestFit="1" customWidth="1"/>
  </cols>
  <sheetData>
    <row r="1" spans="1:26" ht="15.75">
      <c r="A1" s="1244" t="str">
        <f>'Table of Contents'!A1:C1</f>
        <v>Atmos Energy Corporation, Kentucky/Mid-States Division</v>
      </c>
      <c r="B1" s="1244"/>
      <c r="C1" s="1244"/>
      <c r="D1" s="1244"/>
      <c r="E1" s="1244"/>
      <c r="F1" s="1244"/>
      <c r="G1" s="1244"/>
      <c r="H1" s="1244"/>
      <c r="I1" s="1244"/>
      <c r="J1" s="1244"/>
    </row>
    <row r="2" spans="1:26" ht="15.75">
      <c r="A2" s="1244" t="str">
        <f>'Table of Contents'!A2:C2</f>
        <v>Kentucky Jurisdiction Case No. 2015-00343</v>
      </c>
      <c r="B2" s="1244"/>
      <c r="C2" s="1244"/>
      <c r="D2" s="1244"/>
      <c r="E2" s="1244"/>
      <c r="F2" s="1244"/>
      <c r="G2" s="1244"/>
      <c r="H2" s="1244"/>
      <c r="I2" s="1244"/>
      <c r="J2" s="1244"/>
    </row>
    <row r="3" spans="1:26" ht="15.75">
      <c r="A3" s="1244" t="s">
        <v>626</v>
      </c>
      <c r="B3" s="1244"/>
      <c r="C3" s="1244"/>
      <c r="D3" s="1244"/>
      <c r="E3" s="1244"/>
      <c r="F3" s="1244"/>
      <c r="G3" s="1244"/>
      <c r="H3" s="1244"/>
      <c r="I3" s="1244"/>
      <c r="J3" s="1244"/>
    </row>
    <row r="4" spans="1:26" ht="15.75">
      <c r="A4" s="1244" t="str">
        <f>'Table of Contents'!A3:C3</f>
        <v>Base Period: Twelve Months Ended February 29, 2016</v>
      </c>
      <c r="B4" s="1244"/>
      <c r="C4" s="1244"/>
      <c r="D4" s="1244"/>
      <c r="E4" s="1244"/>
      <c r="F4" s="1244"/>
      <c r="G4" s="1244"/>
      <c r="H4" s="1244"/>
      <c r="I4" s="1244"/>
      <c r="J4" s="1244"/>
    </row>
    <row r="5" spans="1:26" ht="15.75">
      <c r="A5" s="1244" t="str">
        <f>'Table of Contents'!A4:C4</f>
        <v>Forecasted Test Period: Twelve Months Ended May 31, 2017</v>
      </c>
      <c r="B5" s="1244"/>
      <c r="C5" s="1244"/>
      <c r="D5" s="1244"/>
      <c r="E5" s="1244"/>
      <c r="F5" s="1244"/>
      <c r="G5" s="1244"/>
      <c r="H5" s="1244"/>
      <c r="I5" s="1244"/>
      <c r="J5" s="1244"/>
    </row>
    <row r="6" spans="1:26" ht="15.75">
      <c r="A6" s="119"/>
      <c r="B6" s="12"/>
      <c r="C6" s="119"/>
      <c r="D6" s="119"/>
      <c r="E6" s="119"/>
      <c r="F6" s="119"/>
      <c r="G6" s="119"/>
      <c r="H6" s="119"/>
      <c r="I6" s="119"/>
      <c r="J6" s="119"/>
    </row>
    <row r="7" spans="1:26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26" ht="15.75">
      <c r="A8" s="95" t="s">
        <v>498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26" ht="15.75">
      <c r="A9" s="95" t="s">
        <v>1146</v>
      </c>
      <c r="B9" s="12"/>
      <c r="C9" s="119"/>
      <c r="D9" s="119"/>
      <c r="E9" s="119"/>
      <c r="F9" s="119"/>
      <c r="G9" s="119"/>
      <c r="H9" s="119"/>
      <c r="J9" s="736" t="s">
        <v>499</v>
      </c>
    </row>
    <row r="10" spans="1:26" ht="15.75">
      <c r="A10" s="95" t="s">
        <v>375</v>
      </c>
      <c r="B10" s="12"/>
      <c r="C10" s="119"/>
      <c r="D10" s="119"/>
      <c r="E10" s="119"/>
      <c r="F10" s="119"/>
      <c r="G10" s="119"/>
      <c r="H10" s="119"/>
      <c r="I10" s="75"/>
      <c r="J10" s="737" t="str">
        <f>F.1!$F$9</f>
        <v>Witness: Waller</v>
      </c>
    </row>
    <row r="11" spans="1:26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26">
      <c r="A12" s="127" t="s">
        <v>98</v>
      </c>
      <c r="B12" s="119"/>
      <c r="C12" s="127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76" t="s">
        <v>11</v>
      </c>
      <c r="J12" s="126" t="s">
        <v>12</v>
      </c>
    </row>
    <row r="13" spans="1:26">
      <c r="A13" s="128" t="s">
        <v>104</v>
      </c>
      <c r="B13" s="128" t="s">
        <v>180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84" t="s">
        <v>102</v>
      </c>
      <c r="J13" s="128" t="s">
        <v>109</v>
      </c>
    </row>
    <row r="14" spans="1:26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15.75">
      <c r="A15" s="531">
        <v>1</v>
      </c>
      <c r="C15" s="523" t="s">
        <v>198</v>
      </c>
      <c r="D15" s="797"/>
      <c r="E15" s="531"/>
      <c r="F15" s="166"/>
      <c r="G15" s="120"/>
      <c r="H15" s="545"/>
      <c r="I15" s="531"/>
      <c r="J15" s="16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>
      <c r="A16" s="572">
        <v>2</v>
      </c>
      <c r="B16" s="544" t="s">
        <v>640</v>
      </c>
      <c r="C16" s="546" t="s">
        <v>952</v>
      </c>
      <c r="D16" s="427">
        <v>0</v>
      </c>
      <c r="E16" s="808">
        <v>1</v>
      </c>
      <c r="F16" s="427">
        <f>D16*E16</f>
        <v>0</v>
      </c>
      <c r="G16" s="1079"/>
      <c r="H16" s="427">
        <v>0</v>
      </c>
      <c r="I16" s="441">
        <f>E16</f>
        <v>1</v>
      </c>
      <c r="J16" s="423">
        <f>H16*I16</f>
        <v>0</v>
      </c>
      <c r="L16" s="1063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>
      <c r="A17" s="531">
        <v>3</v>
      </c>
      <c r="B17" s="544"/>
      <c r="C17" s="546"/>
      <c r="D17" s="567"/>
      <c r="E17" s="1168"/>
      <c r="F17" s="567"/>
      <c r="G17" s="1079"/>
      <c r="H17" s="567"/>
      <c r="I17" s="441"/>
      <c r="J17" s="549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>
      <c r="A18" s="572">
        <v>4</v>
      </c>
      <c r="B18" s="544"/>
      <c r="C18" s="547" t="s">
        <v>101</v>
      </c>
      <c r="D18" s="427">
        <f>SUM(D16:D17)</f>
        <v>0</v>
      </c>
      <c r="E18" s="1079"/>
      <c r="F18" s="427">
        <f>SUM(F16:F17)</f>
        <v>0</v>
      </c>
      <c r="G18" s="1079"/>
      <c r="H18" s="427">
        <f>SUM(H16:H17)</f>
        <v>0</v>
      </c>
      <c r="I18" s="441"/>
      <c r="J18" s="423">
        <f>SUM(J16:J17)</f>
        <v>0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>
      <c r="A19" s="531">
        <v>5</v>
      </c>
      <c r="B19" s="120"/>
      <c r="C19" s="120"/>
      <c r="D19" s="496"/>
      <c r="E19" s="1079"/>
      <c r="F19" s="496"/>
      <c r="G19" s="1079"/>
      <c r="H19" s="496"/>
      <c r="I19" s="441"/>
      <c r="J19" s="495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5.75">
      <c r="A20" s="572">
        <v>6</v>
      </c>
      <c r="C20" s="523" t="s">
        <v>83</v>
      </c>
      <c r="D20" s="1169"/>
      <c r="E20" s="1170"/>
      <c r="F20" s="1171"/>
      <c r="G20" s="1172"/>
      <c r="H20" s="1169"/>
      <c r="I20" s="441"/>
      <c r="J20" s="533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>
      <c r="A21" s="531">
        <v>7</v>
      </c>
      <c r="B21" s="544" t="s">
        <v>640</v>
      </c>
      <c r="C21" s="546" t="s">
        <v>952</v>
      </c>
      <c r="D21" s="427">
        <f>SUM('[12]Div 91 forecast'!$F$57:$Q$57)</f>
        <v>84440.54529870415</v>
      </c>
      <c r="E21" s="1173">
        <f>Allocation!$I$17</f>
        <v>0.49090457251500325</v>
      </c>
      <c r="F21" s="427">
        <f>D21*E21</f>
        <v>41452.249792794129</v>
      </c>
      <c r="G21" s="1079"/>
      <c r="H21" s="427">
        <f>SUM('[12]Div 91 forecast'!$U$57:$AF$57)</f>
        <v>55469.782888587353</v>
      </c>
      <c r="I21" s="537">
        <f>Allocation!$E$17</f>
        <v>0.49090457251500325</v>
      </c>
      <c r="J21" s="423">
        <f>H21*I21</f>
        <v>27230.370056422016</v>
      </c>
      <c r="L21" s="1060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>
      <c r="A22" s="572">
        <v>8</v>
      </c>
      <c r="B22" s="544"/>
      <c r="C22" s="546"/>
      <c r="D22" s="567"/>
      <c r="E22" s="421"/>
      <c r="F22" s="567"/>
      <c r="G22" s="130"/>
      <c r="H22" s="567"/>
      <c r="I22" s="537"/>
      <c r="J22" s="549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>
      <c r="A23" s="531">
        <v>9</v>
      </c>
      <c r="B23" s="544"/>
      <c r="C23" s="547" t="s">
        <v>101</v>
      </c>
      <c r="D23" s="427">
        <f>SUM(D21:D22)</f>
        <v>84440.54529870415</v>
      </c>
      <c r="E23" s="130"/>
      <c r="F23" s="427">
        <f>SUM(F21:F22)</f>
        <v>41452.249792794129</v>
      </c>
      <c r="G23" s="130"/>
      <c r="H23" s="427">
        <f>SUM(H21:H22)</f>
        <v>55469.782888587353</v>
      </c>
      <c r="I23" s="537"/>
      <c r="J23" s="423">
        <f>SUM(J21:J22)</f>
        <v>27230.370056422016</v>
      </c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</row>
    <row r="24" spans="1:26">
      <c r="A24" s="572">
        <v>10</v>
      </c>
      <c r="B24" s="119"/>
      <c r="C24" s="119"/>
      <c r="D24" s="684"/>
      <c r="E24" s="130"/>
      <c r="F24" s="130"/>
      <c r="G24" s="130"/>
      <c r="H24" s="684"/>
      <c r="I24" s="537"/>
      <c r="J24" s="119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6" ht="15.75">
      <c r="A25" s="531">
        <v>11</v>
      </c>
      <c r="C25" s="523" t="s">
        <v>81</v>
      </c>
      <c r="D25" s="684"/>
      <c r="E25" s="130"/>
      <c r="F25" s="130"/>
      <c r="G25" s="130"/>
      <c r="H25" s="684"/>
      <c r="I25" s="537"/>
      <c r="J25" s="119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</row>
    <row r="26" spans="1:26">
      <c r="A26" s="572">
        <v>12</v>
      </c>
      <c r="B26" s="544" t="s">
        <v>640</v>
      </c>
      <c r="C26" s="546" t="s">
        <v>952</v>
      </c>
      <c r="D26" s="427">
        <f>SUM('[12]Div 2 forecast'!$F$55:$Q$55)</f>
        <v>64555.361503049637</v>
      </c>
      <c r="E26" s="1173">
        <f>Allocation!$I$14</f>
        <v>5.2575879716356848E-2</v>
      </c>
      <c r="F26" s="427">
        <f>D26*E26</f>
        <v>3394.054921430271</v>
      </c>
      <c r="G26" s="106"/>
      <c r="H26" s="427">
        <f>SUM('[12]Div 2 forecast'!$U$55:$AF$55)</f>
        <v>59129.783688773445</v>
      </c>
      <c r="I26" s="537">
        <f>Allocation!$E$14</f>
        <v>5.2575879716356848E-2</v>
      </c>
      <c r="J26" s="423">
        <f>H26*I26</f>
        <v>3108.8003948751516</v>
      </c>
      <c r="L26" s="1060"/>
    </row>
    <row r="27" spans="1:26">
      <c r="A27" s="531">
        <v>13</v>
      </c>
      <c r="B27" s="544"/>
      <c r="C27" s="546"/>
      <c r="D27" s="567"/>
      <c r="E27" s="421"/>
      <c r="F27" s="567"/>
      <c r="G27" s="106"/>
      <c r="H27" s="567"/>
      <c r="I27" s="537"/>
      <c r="J27" s="549"/>
    </row>
    <row r="28" spans="1:26">
      <c r="A28" s="572">
        <v>14</v>
      </c>
      <c r="B28" s="544"/>
      <c r="C28" s="547" t="s">
        <v>101</v>
      </c>
      <c r="D28" s="427">
        <f>SUM(D26:D27)</f>
        <v>64555.361503049637</v>
      </c>
      <c r="E28" s="421"/>
      <c r="F28" s="427">
        <f>SUM(F26:F27)</f>
        <v>3394.054921430271</v>
      </c>
      <c r="G28" s="106"/>
      <c r="H28" s="427">
        <f>SUM(H26:H27)</f>
        <v>59129.783688773445</v>
      </c>
      <c r="I28" s="537"/>
      <c r="J28" s="423">
        <f>SUM(J26:J27)</f>
        <v>3108.8003948751516</v>
      </c>
    </row>
    <row r="29" spans="1:26">
      <c r="A29" s="531">
        <v>15</v>
      </c>
      <c r="D29" s="684"/>
      <c r="E29" s="421"/>
      <c r="F29" s="106"/>
      <c r="G29" s="106"/>
      <c r="H29" s="684"/>
      <c r="I29" s="537"/>
    </row>
    <row r="30" spans="1:26" ht="15.75">
      <c r="A30" s="572">
        <v>16</v>
      </c>
      <c r="C30" s="523" t="s">
        <v>82</v>
      </c>
      <c r="D30" s="684"/>
      <c r="E30" s="421"/>
      <c r="F30" s="106"/>
      <c r="G30" s="106"/>
      <c r="H30" s="684"/>
      <c r="I30" s="537"/>
    </row>
    <row r="31" spans="1:26">
      <c r="A31" s="531">
        <v>17</v>
      </c>
      <c r="B31" s="544" t="s">
        <v>640</v>
      </c>
      <c r="C31" s="546" t="s">
        <v>952</v>
      </c>
      <c r="D31" s="427">
        <f>SUM('[12]Div 12 forecast'!$F$32:$Q$32)</f>
        <v>58116.00364612462</v>
      </c>
      <c r="E31" s="1173">
        <f>Allocation!$I$15</f>
        <v>5.712253040952902E-2</v>
      </c>
      <c r="F31" s="427">
        <f>D31*E31</f>
        <v>3319.7331855560528</v>
      </c>
      <c r="G31" s="106"/>
      <c r="H31" s="427">
        <f>SUM('[12]Div 12 forecast'!$U$32:$AF$32)</f>
        <v>45820.24197846013</v>
      </c>
      <c r="I31" s="537">
        <f>Allocation!$E$15</f>
        <v>5.712253040952902E-2</v>
      </c>
      <c r="J31" s="423">
        <f>H31*I31</f>
        <v>2617.3681657865668</v>
      </c>
      <c r="L31" s="1060"/>
    </row>
    <row r="32" spans="1:26">
      <c r="A32" s="572">
        <v>18</v>
      </c>
      <c r="B32" s="544"/>
      <c r="C32" s="546"/>
      <c r="D32" s="567"/>
      <c r="E32" s="421"/>
      <c r="F32" s="567"/>
      <c r="G32" s="106"/>
      <c r="H32" s="567"/>
      <c r="I32" s="537"/>
      <c r="J32" s="549"/>
    </row>
    <row r="33" spans="1:10">
      <c r="A33" s="531">
        <v>19</v>
      </c>
      <c r="B33" s="544"/>
      <c r="C33" s="547" t="s">
        <v>101</v>
      </c>
      <c r="D33" s="423">
        <f>SUM(D31:D32)</f>
        <v>58116.00364612462</v>
      </c>
      <c r="F33" s="423">
        <f>SUM(F31:F32)</f>
        <v>3319.7331855560528</v>
      </c>
      <c r="H33" s="423">
        <f>SUM(H31:H32)</f>
        <v>45820.24197846013</v>
      </c>
      <c r="J33" s="423">
        <f>SUM(J31:J32)</f>
        <v>2617.3681657865668</v>
      </c>
    </row>
    <row r="34" spans="1:10">
      <c r="A34" s="572">
        <v>20</v>
      </c>
      <c r="D34" s="548"/>
    </row>
    <row r="35" spans="1:10" ht="16.5" thickBot="1">
      <c r="A35" s="531">
        <v>21</v>
      </c>
      <c r="C35" s="129" t="s">
        <v>953</v>
      </c>
      <c r="D35" s="420">
        <f>D33+D28+D23+D18</f>
        <v>207111.91044787841</v>
      </c>
      <c r="F35" s="420">
        <f>F33+F28+F23+F18</f>
        <v>48166.037899780451</v>
      </c>
      <c r="H35" s="420">
        <f>H33+H28+H23+H18</f>
        <v>160419.80855582093</v>
      </c>
      <c r="J35" s="420">
        <f>J33+J28+J23+J18</f>
        <v>32956.538617083737</v>
      </c>
    </row>
    <row r="36" spans="1:10" ht="16.5" thickTop="1">
      <c r="A36" s="531"/>
      <c r="C36" s="129"/>
      <c r="D36" s="414"/>
      <c r="F36" s="414"/>
      <c r="H36" s="414"/>
      <c r="J36" s="414"/>
    </row>
    <row r="37" spans="1:10" ht="15.75">
      <c r="C37" s="129"/>
    </row>
    <row r="39" spans="1:10">
      <c r="B39" t="s">
        <v>533</v>
      </c>
    </row>
    <row r="40" spans="1:10">
      <c r="B40" t="s">
        <v>1597</v>
      </c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60" zoomScaleNormal="90" workbookViewId="0">
      <pane ySplit="13" topLeftCell="A14" activePane="bottomLeft" state="frozen"/>
      <selection activeCell="D18" sqref="D18:H72"/>
      <selection pane="bottomLeft" activeCell="C17" sqref="C17"/>
    </sheetView>
  </sheetViews>
  <sheetFormatPr defaultRowHeight="15"/>
  <cols>
    <col min="1" max="1" width="4.109375" customWidth="1"/>
    <col min="3" max="3" width="50.6640625" customWidth="1"/>
    <col min="4" max="4" width="9.5546875" bestFit="1" customWidth="1"/>
    <col min="5" max="5" width="11.33203125" bestFit="1" customWidth="1"/>
    <col min="6" max="6" width="9.5546875" bestFit="1" customWidth="1"/>
    <col min="7" max="7" width="3.109375" customWidth="1"/>
    <col min="8" max="8" width="9.5546875" customWidth="1"/>
    <col min="9" max="9" width="11.21875" customWidth="1"/>
    <col min="10" max="10" width="9.5546875" customWidth="1"/>
  </cols>
  <sheetData>
    <row r="1" spans="1:10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264"/>
    </row>
    <row r="2" spans="1:10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264"/>
    </row>
    <row r="3" spans="1:10" ht="15.75">
      <c r="A3" s="1264" t="s">
        <v>1077</v>
      </c>
      <c r="B3" s="1264"/>
      <c r="C3" s="1264"/>
      <c r="D3" s="1264"/>
      <c r="E3" s="1264"/>
      <c r="F3" s="1264"/>
      <c r="G3" s="1264"/>
      <c r="H3" s="1264"/>
      <c r="I3" s="1264"/>
      <c r="J3" s="1264"/>
    </row>
    <row r="4" spans="1:10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264"/>
      <c r="H4" s="1264"/>
      <c r="I4" s="1264"/>
      <c r="J4" s="1264"/>
    </row>
    <row r="5" spans="1:10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264"/>
      <c r="H5" s="1264"/>
      <c r="I5" s="1264"/>
      <c r="J5" s="1264"/>
    </row>
    <row r="6" spans="1:10" ht="15.75">
      <c r="A6" s="119"/>
      <c r="B6" s="12"/>
      <c r="C6" s="119"/>
      <c r="D6" s="31"/>
      <c r="E6" s="119"/>
      <c r="F6" s="119"/>
      <c r="G6" s="119"/>
      <c r="H6" s="119"/>
      <c r="I6" s="119"/>
      <c r="J6" s="119"/>
    </row>
    <row r="7" spans="1:10" ht="15.75">
      <c r="A7" s="119"/>
      <c r="B7" s="12"/>
      <c r="C7" s="12"/>
      <c r="D7" s="119"/>
      <c r="E7" s="119"/>
      <c r="F7" s="119"/>
      <c r="G7" s="119"/>
      <c r="H7" s="119"/>
      <c r="J7" s="119"/>
    </row>
    <row r="8" spans="1:10" ht="15.75">
      <c r="A8" s="95" t="s">
        <v>141</v>
      </c>
      <c r="B8" s="12"/>
      <c r="C8" s="119"/>
      <c r="D8" s="119"/>
      <c r="E8" s="119"/>
      <c r="F8" s="119"/>
      <c r="G8" s="119"/>
      <c r="H8" s="119"/>
      <c r="J8" s="491" t="s">
        <v>1504</v>
      </c>
    </row>
    <row r="9" spans="1:10" ht="15.75">
      <c r="A9" s="95" t="s">
        <v>1145</v>
      </c>
      <c r="B9" s="12"/>
      <c r="C9" s="119"/>
      <c r="D9" s="119"/>
      <c r="E9" s="119"/>
      <c r="F9" s="119"/>
      <c r="G9" s="119"/>
      <c r="H9" s="119"/>
      <c r="J9" s="736" t="s">
        <v>142</v>
      </c>
    </row>
    <row r="10" spans="1:10" ht="15.75">
      <c r="A10" s="95" t="s">
        <v>375</v>
      </c>
      <c r="B10" s="12"/>
      <c r="C10" s="119"/>
      <c r="D10" s="119"/>
      <c r="E10" s="119"/>
      <c r="F10" s="119"/>
      <c r="G10" s="119"/>
      <c r="H10" s="119"/>
      <c r="J10" s="737" t="str">
        <f>F.1!$F$9</f>
        <v>Witness: Waller</v>
      </c>
    </row>
    <row r="11" spans="1:10" ht="15.75">
      <c r="A11" s="162"/>
      <c r="B11" s="162"/>
      <c r="C11" s="162"/>
      <c r="D11" s="741"/>
      <c r="E11" s="742" t="s">
        <v>333</v>
      </c>
      <c r="F11" s="743"/>
      <c r="G11" s="162"/>
      <c r="H11" s="741"/>
      <c r="I11" s="742" t="s">
        <v>334</v>
      </c>
      <c r="J11" s="743"/>
    </row>
    <row r="12" spans="1:10">
      <c r="A12" s="127" t="s">
        <v>98</v>
      </c>
      <c r="B12" s="127" t="s">
        <v>347</v>
      </c>
      <c r="C12" s="119"/>
      <c r="D12" s="127" t="s">
        <v>101</v>
      </c>
      <c r="E12" s="76" t="s">
        <v>11</v>
      </c>
      <c r="F12" s="126" t="s">
        <v>12</v>
      </c>
      <c r="G12" s="119"/>
      <c r="H12" s="127" t="s">
        <v>101</v>
      </c>
      <c r="I12" s="126" t="str">
        <f>E12</f>
        <v xml:space="preserve">Kentucky </v>
      </c>
      <c r="J12" s="126" t="s">
        <v>1000</v>
      </c>
    </row>
    <row r="13" spans="1:10">
      <c r="A13" s="128" t="s">
        <v>104</v>
      </c>
      <c r="B13" s="128" t="s">
        <v>143</v>
      </c>
      <c r="C13" s="128" t="s">
        <v>492</v>
      </c>
      <c r="D13" s="128" t="s">
        <v>609</v>
      </c>
      <c r="E13" s="84" t="s">
        <v>102</v>
      </c>
      <c r="F13" s="128" t="s">
        <v>109</v>
      </c>
      <c r="G13" s="124"/>
      <c r="H13" s="128" t="s">
        <v>609</v>
      </c>
      <c r="I13" s="128" t="str">
        <f>E13</f>
        <v>Jurisdictional</v>
      </c>
      <c r="J13" s="128" t="s">
        <v>109</v>
      </c>
    </row>
    <row r="14" spans="1:10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15.75">
      <c r="A15" s="117">
        <v>1</v>
      </c>
      <c r="B15" s="119"/>
      <c r="C15" s="522" t="s">
        <v>584</v>
      </c>
      <c r="D15" s="119"/>
      <c r="E15" s="119"/>
      <c r="F15" s="119"/>
      <c r="G15" s="119"/>
      <c r="H15" s="119"/>
      <c r="I15" s="119"/>
      <c r="J15" s="119"/>
    </row>
    <row r="16" spans="1:10">
      <c r="A16" s="117">
        <v>2</v>
      </c>
      <c r="B16" s="119"/>
      <c r="D16" s="119"/>
      <c r="E16" s="34"/>
      <c r="F16" s="119"/>
      <c r="G16" s="119"/>
      <c r="H16" s="119"/>
      <c r="I16" s="34"/>
      <c r="J16" s="119"/>
    </row>
    <row r="17" spans="1:14" ht="15.75">
      <c r="A17" s="117">
        <v>3</v>
      </c>
      <c r="B17" s="119"/>
      <c r="C17" s="523" t="s">
        <v>198</v>
      </c>
      <c r="D17" s="119"/>
      <c r="E17" s="34"/>
      <c r="F17" s="119"/>
      <c r="G17" s="119"/>
      <c r="H17" s="119"/>
      <c r="I17" s="34"/>
      <c r="J17" s="119"/>
    </row>
    <row r="18" spans="1:14">
      <c r="A18" s="117">
        <v>4</v>
      </c>
      <c r="B18" s="127">
        <v>907</v>
      </c>
      <c r="C18" s="524" t="s">
        <v>996</v>
      </c>
      <c r="D18" s="752">
        <v>0</v>
      </c>
      <c r="E18" s="1174">
        <v>1</v>
      </c>
      <c r="F18" s="752">
        <f>D18*E18</f>
        <v>0</v>
      </c>
      <c r="G18" s="130"/>
      <c r="H18" s="752">
        <v>0</v>
      </c>
      <c r="I18" s="521">
        <f>E18</f>
        <v>1</v>
      </c>
      <c r="J18" s="739">
        <f>H18*I18</f>
        <v>0</v>
      </c>
    </row>
    <row r="19" spans="1:14">
      <c r="A19" s="117">
        <v>5</v>
      </c>
      <c r="B19" s="127">
        <v>908</v>
      </c>
      <c r="C19" s="524" t="s">
        <v>494</v>
      </c>
      <c r="D19" s="823">
        <v>0</v>
      </c>
      <c r="E19" s="437">
        <f>$E$18</f>
        <v>1</v>
      </c>
      <c r="F19" s="823">
        <f>D19*E19</f>
        <v>0</v>
      </c>
      <c r="G19" s="130"/>
      <c r="H19" s="823">
        <v>0</v>
      </c>
      <c r="I19" s="521">
        <f>E19</f>
        <v>1</v>
      </c>
      <c r="J19" s="525">
        <f>H19*I19</f>
        <v>0</v>
      </c>
    </row>
    <row r="20" spans="1:14">
      <c r="A20" s="117">
        <v>6</v>
      </c>
      <c r="B20" s="127">
        <v>909</v>
      </c>
      <c r="C20" s="524" t="s">
        <v>997</v>
      </c>
      <c r="D20" s="823">
        <f>'C.2.2 B 09'!P92</f>
        <v>125152.43264437889</v>
      </c>
      <c r="E20" s="437">
        <f>$E$18</f>
        <v>1</v>
      </c>
      <c r="F20" s="823">
        <f>D20*E20</f>
        <v>125152.43264437889</v>
      </c>
      <c r="G20" s="130"/>
      <c r="H20" s="823">
        <f>'C.2.2-F 09'!P92</f>
        <v>122977.93644900681</v>
      </c>
      <c r="I20" s="521">
        <f>E20</f>
        <v>1</v>
      </c>
      <c r="J20" s="525">
        <f>H20*I20</f>
        <v>122977.93644900681</v>
      </c>
    </row>
    <row r="21" spans="1:14">
      <c r="A21" s="117">
        <v>7</v>
      </c>
      <c r="B21" s="529">
        <v>910</v>
      </c>
      <c r="C21" s="524" t="s">
        <v>998</v>
      </c>
      <c r="D21" s="824">
        <v>0</v>
      </c>
      <c r="E21" s="437">
        <f>$E$18</f>
        <v>1</v>
      </c>
      <c r="F21" s="824">
        <f>D21*E21</f>
        <v>0</v>
      </c>
      <c r="G21" s="130"/>
      <c r="H21" s="824">
        <v>0</v>
      </c>
      <c r="I21" s="521">
        <f>E21</f>
        <v>1</v>
      </c>
      <c r="J21" s="527">
        <f>H21*I21</f>
        <v>0</v>
      </c>
    </row>
    <row r="22" spans="1:14">
      <c r="A22" s="117">
        <v>8</v>
      </c>
      <c r="B22" s="126"/>
      <c r="C22" s="528" t="s">
        <v>101</v>
      </c>
      <c r="D22" s="462">
        <f>SUM(D18:D21)</f>
        <v>125152.43264437889</v>
      </c>
      <c r="E22" s="1175"/>
      <c r="F22" s="462">
        <f>SUM(F18:F21)</f>
        <v>125152.43264437889</v>
      </c>
      <c r="G22" s="130"/>
      <c r="H22" s="462">
        <f>SUM(H18:H21)</f>
        <v>122977.93644900681</v>
      </c>
      <c r="I22" s="34"/>
      <c r="J22" s="407">
        <f>SUM(J18:J21)</f>
        <v>122977.93644900681</v>
      </c>
    </row>
    <row r="23" spans="1:14">
      <c r="A23" s="117">
        <v>9</v>
      </c>
      <c r="B23" s="126"/>
      <c r="C23" s="528"/>
      <c r="D23" s="809"/>
      <c r="E23" s="1175"/>
      <c r="F23" s="809"/>
      <c r="G23" s="130"/>
      <c r="H23" s="809"/>
      <c r="I23" s="34"/>
      <c r="J23" s="390"/>
    </row>
    <row r="24" spans="1:14" ht="15.75">
      <c r="A24" s="117">
        <v>10</v>
      </c>
      <c r="B24" s="126"/>
      <c r="C24" s="523" t="s">
        <v>83</v>
      </c>
      <c r="D24" s="809"/>
      <c r="E24" s="1175"/>
      <c r="F24" s="809"/>
      <c r="G24" s="130"/>
      <c r="H24" s="809"/>
      <c r="I24" s="34"/>
      <c r="J24" s="390"/>
    </row>
    <row r="25" spans="1:14">
      <c r="A25" s="117">
        <v>11</v>
      </c>
      <c r="B25" s="127">
        <v>907</v>
      </c>
      <c r="C25" s="524" t="s">
        <v>996</v>
      </c>
      <c r="D25" s="752">
        <v>0</v>
      </c>
      <c r="E25" s="1176">
        <f>Allocation!$I$17</f>
        <v>0.49090457251500325</v>
      </c>
      <c r="F25" s="462">
        <f>D25*E25</f>
        <v>0</v>
      </c>
      <c r="G25" s="130"/>
      <c r="H25" s="752">
        <v>0</v>
      </c>
      <c r="I25" s="526">
        <f>Allocation!$E$17</f>
        <v>0.49090457251500325</v>
      </c>
      <c r="J25" s="407">
        <f>H25*I25</f>
        <v>0</v>
      </c>
    </row>
    <row r="26" spans="1:14">
      <c r="A26" s="117">
        <v>12</v>
      </c>
      <c r="B26" s="127">
        <v>908</v>
      </c>
      <c r="C26" s="524" t="s">
        <v>494</v>
      </c>
      <c r="D26" s="823">
        <v>0</v>
      </c>
      <c r="E26" s="421">
        <f>$E$25</f>
        <v>0.49090457251500325</v>
      </c>
      <c r="F26" s="809">
        <f>D26*E26</f>
        <v>0</v>
      </c>
      <c r="G26" s="106"/>
      <c r="H26" s="823">
        <v>0</v>
      </c>
      <c r="I26" s="526">
        <f>I25</f>
        <v>0.49090457251500325</v>
      </c>
      <c r="J26" s="390">
        <f>H26*I26</f>
        <v>0</v>
      </c>
      <c r="N26" s="105"/>
    </row>
    <row r="27" spans="1:14">
      <c r="A27" s="117">
        <v>13</v>
      </c>
      <c r="B27" s="127">
        <v>909</v>
      </c>
      <c r="C27" s="524" t="s">
        <v>997</v>
      </c>
      <c r="D27" s="823">
        <v>0</v>
      </c>
      <c r="E27" s="421">
        <f>$E$25</f>
        <v>0.49090457251500325</v>
      </c>
      <c r="F27" s="809">
        <f>D27*E27</f>
        <v>0</v>
      </c>
      <c r="G27" s="106"/>
      <c r="H27" s="823">
        <v>0</v>
      </c>
      <c r="I27" s="526">
        <f>I25</f>
        <v>0.49090457251500325</v>
      </c>
      <c r="J27" s="390">
        <f>H27*I27</f>
        <v>0</v>
      </c>
    </row>
    <row r="28" spans="1:14">
      <c r="A28" s="117">
        <v>14</v>
      </c>
      <c r="B28" s="529">
        <v>910</v>
      </c>
      <c r="C28" s="524" t="s">
        <v>998</v>
      </c>
      <c r="D28" s="824">
        <f>'C.2.2 B 91'!P36</f>
        <v>663.98125786291905</v>
      </c>
      <c r="E28" s="421">
        <f>$E$25</f>
        <v>0.49090457251500325</v>
      </c>
      <c r="F28" s="1138">
        <f>D28*E28</f>
        <v>325.95143554917041</v>
      </c>
      <c r="G28" s="106"/>
      <c r="H28" s="824">
        <f>'C.2.2-F 91'!P34</f>
        <v>786.94027784387981</v>
      </c>
      <c r="I28" s="526">
        <f>I25</f>
        <v>0.49090457251500325</v>
      </c>
      <c r="J28" s="393">
        <f>H28*I28</f>
        <v>386.31258068978769</v>
      </c>
    </row>
    <row r="29" spans="1:14">
      <c r="A29" s="117">
        <v>15</v>
      </c>
      <c r="B29" s="76"/>
      <c r="C29" s="528" t="s">
        <v>101</v>
      </c>
      <c r="D29" s="462">
        <f>SUM(D25:D28)</f>
        <v>663.98125786291905</v>
      </c>
      <c r="E29" s="1175"/>
      <c r="F29" s="462">
        <f>SUM(F25:F28)</f>
        <v>325.95143554917041</v>
      </c>
      <c r="G29" s="130"/>
      <c r="H29" s="462">
        <f>SUM(H25:H28)</f>
        <v>786.94027784387981</v>
      </c>
      <c r="I29" s="34"/>
      <c r="J29" s="407">
        <f>SUM(J25:J28)</f>
        <v>386.31258068978769</v>
      </c>
    </row>
    <row r="30" spans="1:14">
      <c r="A30" s="117">
        <v>16</v>
      </c>
      <c r="B30" s="76"/>
      <c r="C30" s="528"/>
      <c r="D30" s="809"/>
      <c r="E30" s="1175"/>
      <c r="F30" s="809"/>
      <c r="G30" s="130"/>
      <c r="H30" s="809"/>
      <c r="I30" s="34"/>
      <c r="J30" s="390"/>
    </row>
    <row r="31" spans="1:14" ht="15.75">
      <c r="A31" s="117">
        <v>17</v>
      </c>
      <c r="B31" s="126"/>
      <c r="C31" s="523" t="s">
        <v>81</v>
      </c>
      <c r="D31" s="809"/>
      <c r="E31" s="106"/>
      <c r="F31" s="809"/>
      <c r="G31" s="106"/>
      <c r="H31" s="809"/>
      <c r="I31" s="526"/>
      <c r="J31" s="390"/>
    </row>
    <row r="32" spans="1:14">
      <c r="A32" s="117">
        <v>18</v>
      </c>
      <c r="B32" s="127">
        <v>907</v>
      </c>
      <c r="C32" s="524" t="s">
        <v>996</v>
      </c>
      <c r="D32" s="752">
        <v>0</v>
      </c>
      <c r="E32" s="421">
        <f>Allocation!$I$14</f>
        <v>5.2575879716356848E-2</v>
      </c>
      <c r="F32" s="462">
        <f>D32*E32</f>
        <v>0</v>
      </c>
      <c r="G32" s="106"/>
      <c r="H32" s="752">
        <v>0</v>
      </c>
      <c r="I32" s="422">
        <f>Allocation!$E$14</f>
        <v>5.2575879716356848E-2</v>
      </c>
      <c r="J32" s="407">
        <f>H32*I32</f>
        <v>0</v>
      </c>
    </row>
    <row r="33" spans="1:10">
      <c r="A33" s="117">
        <v>19</v>
      </c>
      <c r="B33" s="127">
        <v>908</v>
      </c>
      <c r="C33" s="524" t="s">
        <v>494</v>
      </c>
      <c r="D33" s="823">
        <v>0</v>
      </c>
      <c r="E33" s="421">
        <f>$E$32</f>
        <v>5.2575879716356848E-2</v>
      </c>
      <c r="F33" s="809">
        <f>D33*E33</f>
        <v>0</v>
      </c>
      <c r="G33" s="106"/>
      <c r="H33" s="823">
        <v>0</v>
      </c>
      <c r="I33" s="526">
        <f>I32</f>
        <v>5.2575879716356848E-2</v>
      </c>
      <c r="J33" s="390">
        <f>H33*I33</f>
        <v>0</v>
      </c>
    </row>
    <row r="34" spans="1:10">
      <c r="A34" s="117">
        <v>20</v>
      </c>
      <c r="B34" s="127">
        <v>909</v>
      </c>
      <c r="C34" s="524" t="s">
        <v>997</v>
      </c>
      <c r="D34" s="823">
        <v>0</v>
      </c>
      <c r="E34" s="421">
        <f>$E$32</f>
        <v>5.2575879716356848E-2</v>
      </c>
      <c r="F34" s="809">
        <f>D34*E34</f>
        <v>0</v>
      </c>
      <c r="G34" s="106"/>
      <c r="H34" s="823">
        <v>0</v>
      </c>
      <c r="I34" s="526">
        <f>I32</f>
        <v>5.2575879716356848E-2</v>
      </c>
      <c r="J34" s="390">
        <f>H34*I34</f>
        <v>0</v>
      </c>
    </row>
    <row r="35" spans="1:10">
      <c r="A35" s="117">
        <v>21</v>
      </c>
      <c r="B35" s="529">
        <v>910</v>
      </c>
      <c r="C35" s="524" t="s">
        <v>998</v>
      </c>
      <c r="D35" s="824">
        <f>'C.2.2 B 02'!P23</f>
        <v>1028.6683683249996</v>
      </c>
      <c r="E35" s="421">
        <f>$E$32</f>
        <v>5.2575879716356848E-2</v>
      </c>
      <c r="F35" s="1138">
        <f>D35*E35</f>
        <v>54.08314440107624</v>
      </c>
      <c r="G35" s="130"/>
      <c r="H35" s="824">
        <f>'C.2.2-F 02'!P21:P21</f>
        <v>1198.3998352485028</v>
      </c>
      <c r="I35" s="526">
        <f>I32</f>
        <v>5.2575879716356848E-2</v>
      </c>
      <c r="J35" s="393">
        <f>H35*I35</f>
        <v>63.006925590127146</v>
      </c>
    </row>
    <row r="36" spans="1:10">
      <c r="A36" s="117">
        <v>22</v>
      </c>
      <c r="B36" s="127"/>
      <c r="C36" s="528" t="s">
        <v>101</v>
      </c>
      <c r="D36" s="462">
        <f>SUM(D32:D35)</f>
        <v>1028.6683683249996</v>
      </c>
      <c r="E36" s="1175"/>
      <c r="F36" s="462">
        <f>SUM(F32:F35)</f>
        <v>54.08314440107624</v>
      </c>
      <c r="G36" s="130"/>
      <c r="H36" s="462">
        <f>SUM(H32:H35)</f>
        <v>1198.3998352485028</v>
      </c>
      <c r="I36" s="34"/>
      <c r="J36" s="407">
        <f>SUM(J32:J35)</f>
        <v>63.006925590127146</v>
      </c>
    </row>
    <row r="37" spans="1:10">
      <c r="A37" s="117">
        <v>23</v>
      </c>
      <c r="B37" s="127"/>
      <c r="C37" s="528"/>
      <c r="D37" s="809"/>
      <c r="E37" s="1175"/>
      <c r="F37" s="809"/>
      <c r="G37" s="130"/>
      <c r="H37" s="809"/>
      <c r="I37" s="34"/>
      <c r="J37" s="390"/>
    </row>
    <row r="38" spans="1:10" ht="15.75">
      <c r="A38" s="117">
        <v>24</v>
      </c>
      <c r="B38" s="126"/>
      <c r="C38" s="523" t="s">
        <v>82</v>
      </c>
      <c r="D38" s="809"/>
      <c r="E38" s="130"/>
      <c r="F38" s="809"/>
      <c r="G38" s="130"/>
      <c r="H38" s="809"/>
      <c r="I38" s="526"/>
      <c r="J38" s="390"/>
    </row>
    <row r="39" spans="1:10">
      <c r="A39" s="117">
        <v>25</v>
      </c>
      <c r="B39" s="127">
        <v>907</v>
      </c>
      <c r="C39" s="524" t="s">
        <v>996</v>
      </c>
      <c r="D39" s="752">
        <v>0</v>
      </c>
      <c r="E39" s="421">
        <f>Allocation!$I$15</f>
        <v>5.712253040952902E-2</v>
      </c>
      <c r="F39" s="462">
        <f>D39*E39</f>
        <v>0</v>
      </c>
      <c r="G39" s="130"/>
      <c r="H39" s="752">
        <v>0</v>
      </c>
      <c r="I39" s="422">
        <f>Allocation!$E$15</f>
        <v>5.712253040952902E-2</v>
      </c>
      <c r="J39" s="407">
        <f>H39*I39</f>
        <v>0</v>
      </c>
    </row>
    <row r="40" spans="1:10">
      <c r="A40" s="117">
        <v>26</v>
      </c>
      <c r="B40" s="127">
        <v>908</v>
      </c>
      <c r="C40" s="524" t="s">
        <v>494</v>
      </c>
      <c r="D40" s="823">
        <v>0</v>
      </c>
      <c r="E40" s="421">
        <f>$E$39</f>
        <v>5.712253040952902E-2</v>
      </c>
      <c r="F40" s="809">
        <f>D40*E40</f>
        <v>0</v>
      </c>
      <c r="G40" s="130"/>
      <c r="H40" s="823">
        <v>0</v>
      </c>
      <c r="I40" s="526">
        <f>I39</f>
        <v>5.712253040952902E-2</v>
      </c>
      <c r="J40" s="390">
        <f>H40*I40</f>
        <v>0</v>
      </c>
    </row>
    <row r="41" spans="1:10">
      <c r="A41" s="117">
        <v>27</v>
      </c>
      <c r="B41" s="127">
        <v>909</v>
      </c>
      <c r="C41" s="524" t="s">
        <v>997</v>
      </c>
      <c r="D41" s="823">
        <v>0</v>
      </c>
      <c r="E41" s="421">
        <f>$E$39</f>
        <v>5.712253040952902E-2</v>
      </c>
      <c r="F41" s="809">
        <f>D41*E41</f>
        <v>0</v>
      </c>
      <c r="G41" s="130"/>
      <c r="H41" s="823">
        <v>0</v>
      </c>
      <c r="I41" s="526">
        <f>I39</f>
        <v>5.712253040952902E-2</v>
      </c>
      <c r="J41" s="390">
        <f>H41*I41</f>
        <v>0</v>
      </c>
    </row>
    <row r="42" spans="1:10">
      <c r="A42" s="117">
        <v>28</v>
      </c>
      <c r="B42" s="529">
        <v>910</v>
      </c>
      <c r="C42" s="524" t="s">
        <v>998</v>
      </c>
      <c r="D42" s="823">
        <v>0</v>
      </c>
      <c r="E42" s="421">
        <f>$E$39</f>
        <v>5.712253040952902E-2</v>
      </c>
      <c r="F42" s="1138">
        <f>D42*E42</f>
        <v>0</v>
      </c>
      <c r="G42" s="130"/>
      <c r="H42" s="823">
        <v>0</v>
      </c>
      <c r="I42" s="526">
        <f>I39</f>
        <v>5.712253040952902E-2</v>
      </c>
      <c r="J42" s="393">
        <f>H42*I42</f>
        <v>0</v>
      </c>
    </row>
    <row r="43" spans="1:10">
      <c r="A43" s="117">
        <v>29</v>
      </c>
      <c r="B43" s="127"/>
      <c r="C43" s="528" t="s">
        <v>101</v>
      </c>
      <c r="D43" s="462">
        <f>SUM(D39:D42)</f>
        <v>0</v>
      </c>
      <c r="E43" s="1175"/>
      <c r="F43" s="462">
        <f>SUM(F39:F42)</f>
        <v>0</v>
      </c>
      <c r="G43" s="130"/>
      <c r="H43" s="462">
        <f>SUM(H39:H42)</f>
        <v>0</v>
      </c>
      <c r="I43" s="34"/>
      <c r="J43" s="407">
        <f>SUM(J39:J42)</f>
        <v>0</v>
      </c>
    </row>
    <row r="44" spans="1:10">
      <c r="A44" s="117">
        <v>30</v>
      </c>
      <c r="B44" s="127"/>
      <c r="C44" s="528"/>
      <c r="D44" s="809"/>
      <c r="E44" s="1175"/>
      <c r="F44" s="809"/>
      <c r="G44" s="130"/>
      <c r="H44" s="809"/>
      <c r="I44" s="34"/>
      <c r="J44" s="390"/>
    </row>
    <row r="45" spans="1:10" ht="15.75">
      <c r="A45" s="117">
        <v>31</v>
      </c>
      <c r="B45" s="127"/>
      <c r="C45" s="522" t="s">
        <v>509</v>
      </c>
      <c r="D45" s="809"/>
      <c r="E45" s="1175"/>
      <c r="F45" s="809"/>
      <c r="G45" s="130"/>
      <c r="H45" s="809"/>
      <c r="I45" s="34"/>
      <c r="J45" s="390"/>
    </row>
    <row r="46" spans="1:10">
      <c r="A46" s="117">
        <v>32</v>
      </c>
      <c r="B46" s="126"/>
      <c r="D46" s="809"/>
      <c r="E46" s="130"/>
      <c r="F46" s="809" t="s">
        <v>332</v>
      </c>
      <c r="G46" s="130"/>
      <c r="H46" s="809"/>
      <c r="I46" s="130"/>
      <c r="J46" s="390" t="s">
        <v>332</v>
      </c>
    </row>
    <row r="47" spans="1:10" ht="15.75">
      <c r="A47" s="117">
        <v>33</v>
      </c>
      <c r="B47" s="126"/>
      <c r="C47" s="523" t="s">
        <v>198</v>
      </c>
      <c r="D47" s="809"/>
      <c r="E47" s="130"/>
      <c r="F47" s="809"/>
      <c r="G47" s="130"/>
      <c r="H47" s="809"/>
      <c r="I47" s="130"/>
      <c r="J47" s="390"/>
    </row>
    <row r="48" spans="1:10">
      <c r="A48" s="117">
        <v>34</v>
      </c>
      <c r="B48" s="127">
        <v>911</v>
      </c>
      <c r="C48" s="524" t="s">
        <v>493</v>
      </c>
      <c r="D48" s="752">
        <f>'C.2.2 B 09'!P94</f>
        <v>257746.70503193676</v>
      </c>
      <c r="E48" s="437">
        <f>E18</f>
        <v>1</v>
      </c>
      <c r="F48" s="752">
        <f>D48*E48</f>
        <v>257746.70503193676</v>
      </c>
      <c r="G48" s="130"/>
      <c r="H48" s="752">
        <f>'C.2.2-F 09'!P94</f>
        <v>252261.0435620413</v>
      </c>
      <c r="I48" s="437">
        <f>I18</f>
        <v>1</v>
      </c>
      <c r="J48" s="739">
        <f>H48</f>
        <v>252261.0435620413</v>
      </c>
    </row>
    <row r="49" spans="1:10">
      <c r="A49" s="117">
        <v>35</v>
      </c>
      <c r="B49" s="127">
        <v>912</v>
      </c>
      <c r="C49" s="524" t="s">
        <v>999</v>
      </c>
      <c r="D49" s="823">
        <f>'C.2.2 B 09'!P95</f>
        <v>56174.592297134361</v>
      </c>
      <c r="E49" s="437">
        <f t="shared" ref="E49:E72" si="0">E19</f>
        <v>1</v>
      </c>
      <c r="F49" s="823">
        <f>D49*E49</f>
        <v>56174.592297134361</v>
      </c>
      <c r="G49" s="130"/>
      <c r="H49" s="823">
        <f>'C.2.2-F 09'!P95</f>
        <v>54617.941221711779</v>
      </c>
      <c r="I49" s="437">
        <f t="shared" ref="I49:I72" si="1">I19</f>
        <v>1</v>
      </c>
      <c r="J49" s="525">
        <f>H49</f>
        <v>54617.941221711779</v>
      </c>
    </row>
    <row r="50" spans="1:10">
      <c r="A50" s="117">
        <v>36</v>
      </c>
      <c r="B50" s="127">
        <v>913</v>
      </c>
      <c r="C50" s="524" t="s">
        <v>973</v>
      </c>
      <c r="D50" s="823">
        <f>'C.2.2 B 09'!P96</f>
        <v>23114.350742867809</v>
      </c>
      <c r="E50" s="437">
        <f t="shared" si="0"/>
        <v>1</v>
      </c>
      <c r="F50" s="823">
        <f>D50*E50</f>
        <v>23114.350742867809</v>
      </c>
      <c r="G50" s="130"/>
      <c r="H50" s="823">
        <f>'C.2.2-F 09'!P96</f>
        <v>22473.830225135178</v>
      </c>
      <c r="I50" s="437">
        <f t="shared" si="1"/>
        <v>1</v>
      </c>
      <c r="J50" s="525">
        <f>H50</f>
        <v>22473.830225135178</v>
      </c>
    </row>
    <row r="51" spans="1:10">
      <c r="A51" s="117">
        <v>37</v>
      </c>
      <c r="B51" s="529">
        <v>916</v>
      </c>
      <c r="C51" s="524" t="s">
        <v>974</v>
      </c>
      <c r="D51" s="824">
        <v>0</v>
      </c>
      <c r="E51" s="437">
        <f t="shared" si="0"/>
        <v>1</v>
      </c>
      <c r="F51" s="824">
        <f>D51*E51</f>
        <v>0</v>
      </c>
      <c r="G51" s="130"/>
      <c r="H51" s="824">
        <v>0</v>
      </c>
      <c r="I51" s="437">
        <f t="shared" si="1"/>
        <v>1</v>
      </c>
      <c r="J51" s="527">
        <f>H51</f>
        <v>0</v>
      </c>
    </row>
    <row r="52" spans="1:10">
      <c r="A52" s="117">
        <v>38</v>
      </c>
      <c r="B52" s="126"/>
      <c r="C52" s="530" t="s">
        <v>101</v>
      </c>
      <c r="D52" s="462">
        <f>SUM(D48:D51)</f>
        <v>337035.64807193889</v>
      </c>
      <c r="E52" s="437"/>
      <c r="F52" s="462">
        <f>SUM(F48:F51)</f>
        <v>337035.64807193889</v>
      </c>
      <c r="G52" s="130"/>
      <c r="H52" s="462">
        <f>SUM(H48:H51)</f>
        <v>329352.81500888825</v>
      </c>
      <c r="I52" s="437"/>
      <c r="J52" s="407">
        <f>SUM(J48:J51)</f>
        <v>329352.81500888825</v>
      </c>
    </row>
    <row r="53" spans="1:10">
      <c r="A53" s="117">
        <v>39</v>
      </c>
      <c r="B53" s="126"/>
      <c r="C53" s="119"/>
      <c r="D53" s="130"/>
      <c r="E53" s="437"/>
      <c r="F53" s="130"/>
      <c r="G53" s="130"/>
      <c r="H53" s="130"/>
      <c r="I53" s="437"/>
      <c r="J53" s="119"/>
    </row>
    <row r="54" spans="1:10" ht="15.75">
      <c r="A54" s="117">
        <v>40</v>
      </c>
      <c r="B54" s="126"/>
      <c r="C54" s="523" t="s">
        <v>83</v>
      </c>
      <c r="D54" s="130"/>
      <c r="E54" s="437"/>
      <c r="F54" s="130"/>
      <c r="G54" s="130"/>
      <c r="H54" s="130"/>
      <c r="I54" s="437"/>
      <c r="J54" s="119"/>
    </row>
    <row r="55" spans="1:10">
      <c r="A55" s="117">
        <v>41</v>
      </c>
      <c r="B55" s="127">
        <v>911</v>
      </c>
      <c r="C55" s="524" t="s">
        <v>493</v>
      </c>
      <c r="D55" s="462">
        <f>'C.2.2 B 91'!P37</f>
        <v>143003.10909029009</v>
      </c>
      <c r="E55" s="421">
        <f t="shared" si="0"/>
        <v>0.49090457251500325</v>
      </c>
      <c r="F55" s="462">
        <f>D55*E55</f>
        <v>70200.880136285225</v>
      </c>
      <c r="G55" s="130"/>
      <c r="H55" s="462">
        <f>'C.2.2-F 91'!P35</f>
        <v>159108.40185221989</v>
      </c>
      <c r="I55" s="421">
        <f t="shared" si="1"/>
        <v>0.49090457251500325</v>
      </c>
      <c r="J55" s="407">
        <f>H55*I55</f>
        <v>78107.041994809362</v>
      </c>
    </row>
    <row r="56" spans="1:10">
      <c r="A56" s="117">
        <v>42</v>
      </c>
      <c r="B56" s="127">
        <v>912</v>
      </c>
      <c r="C56" s="524" t="s">
        <v>999</v>
      </c>
      <c r="D56" s="130">
        <f>'C.2.2 B 91'!P38</f>
        <v>415.64794962499025</v>
      </c>
      <c r="E56" s="421">
        <f t="shared" si="0"/>
        <v>0.49090457251500325</v>
      </c>
      <c r="F56" s="130">
        <f>D56*E56</f>
        <v>204.04347902739343</v>
      </c>
      <c r="G56" s="130"/>
      <c r="H56" s="130">
        <f>'C.2.2-F 91'!P36</f>
        <v>492.61949654406885</v>
      </c>
      <c r="I56" s="421">
        <f t="shared" si="1"/>
        <v>0.49090457251500325</v>
      </c>
      <c r="J56" s="119">
        <f>H56*I56</f>
        <v>241.82916336352224</v>
      </c>
    </row>
    <row r="57" spans="1:10">
      <c r="A57" s="117">
        <v>43</v>
      </c>
      <c r="B57" s="127">
        <v>913</v>
      </c>
      <c r="C57" s="524" t="s">
        <v>973</v>
      </c>
      <c r="D57" s="130">
        <f>'C.2.2 B 91'!P39</f>
        <v>7407.9307091690362</v>
      </c>
      <c r="E57" s="421">
        <f t="shared" si="0"/>
        <v>0.49090457251500325</v>
      </c>
      <c r="F57" s="130">
        <f>D57*E57</f>
        <v>3636.5870580053906</v>
      </c>
      <c r="G57" s="130"/>
      <c r="H57" s="130">
        <f>'C.2.2-F 91'!P37</f>
        <v>8779.7644609499366</v>
      </c>
      <c r="I57" s="421">
        <f t="shared" si="1"/>
        <v>0.49090457251500325</v>
      </c>
      <c r="J57" s="119">
        <f>H57*I57</f>
        <v>4310.0265194850463</v>
      </c>
    </row>
    <row r="58" spans="1:10">
      <c r="A58" s="117">
        <v>44</v>
      </c>
      <c r="B58" s="529">
        <v>916</v>
      </c>
      <c r="C58" s="524" t="s">
        <v>974</v>
      </c>
      <c r="D58" s="1177">
        <v>0</v>
      </c>
      <c r="E58" s="421">
        <f t="shared" si="0"/>
        <v>0.49090457251500325</v>
      </c>
      <c r="F58" s="1177">
        <f>D58*E58</f>
        <v>0</v>
      </c>
      <c r="G58" s="130"/>
      <c r="H58" s="1177">
        <v>0</v>
      </c>
      <c r="I58" s="421">
        <f t="shared" si="1"/>
        <v>0.49090457251500325</v>
      </c>
      <c r="J58" s="122">
        <f>H58*I58</f>
        <v>0</v>
      </c>
    </row>
    <row r="59" spans="1:10">
      <c r="A59" s="117">
        <v>45</v>
      </c>
      <c r="B59" s="126"/>
      <c r="C59" s="530" t="s">
        <v>101</v>
      </c>
      <c r="D59" s="462">
        <f>SUM(D55:D58)</f>
        <v>150826.68774908411</v>
      </c>
      <c r="E59" s="437"/>
      <c r="F59" s="462">
        <f>SUM(F55:F58)</f>
        <v>74041.510673318</v>
      </c>
      <c r="G59" s="130"/>
      <c r="H59" s="462">
        <f>SUM(H55:H58)</f>
        <v>168380.78580971388</v>
      </c>
      <c r="I59" s="421"/>
      <c r="J59" s="407">
        <f>SUM(J55:J58)</f>
        <v>82658.897677657937</v>
      </c>
    </row>
    <row r="60" spans="1:10">
      <c r="A60" s="117">
        <v>46</v>
      </c>
      <c r="B60" s="744"/>
      <c r="C60" s="119"/>
      <c r="D60" s="130"/>
      <c r="E60" s="421"/>
      <c r="F60" s="130"/>
      <c r="G60" s="130"/>
      <c r="H60" s="130"/>
      <c r="I60" s="421"/>
      <c r="J60" s="119"/>
    </row>
    <row r="61" spans="1:10" ht="15.75">
      <c r="A61" s="117">
        <v>47</v>
      </c>
      <c r="B61" s="126"/>
      <c r="C61" s="523" t="s">
        <v>81</v>
      </c>
      <c r="D61" s="130"/>
      <c r="E61" s="421"/>
      <c r="F61" s="130"/>
      <c r="G61" s="130"/>
      <c r="H61" s="130"/>
      <c r="I61" s="421"/>
      <c r="J61" s="119"/>
    </row>
    <row r="62" spans="1:10">
      <c r="A62" s="117">
        <v>48</v>
      </c>
      <c r="B62" s="127">
        <v>911</v>
      </c>
      <c r="C62" s="524" t="s">
        <v>493</v>
      </c>
      <c r="D62" s="462">
        <v>0</v>
      </c>
      <c r="E62" s="421">
        <f t="shared" si="0"/>
        <v>5.2575879716356848E-2</v>
      </c>
      <c r="F62" s="462">
        <f>D62*E62</f>
        <v>0</v>
      </c>
      <c r="G62" s="130"/>
      <c r="H62" s="462">
        <v>0</v>
      </c>
      <c r="I62" s="421">
        <f t="shared" si="1"/>
        <v>5.2575879716356848E-2</v>
      </c>
      <c r="J62" s="407">
        <f>H62*I62</f>
        <v>0</v>
      </c>
    </row>
    <row r="63" spans="1:10">
      <c r="A63" s="117">
        <v>49</v>
      </c>
      <c r="B63" s="127">
        <v>912</v>
      </c>
      <c r="C63" s="524" t="s">
        <v>999</v>
      </c>
      <c r="D63" s="809">
        <f>'C.2.2 B 02'!P24</f>
        <v>5898.9068447461514</v>
      </c>
      <c r="E63" s="421">
        <f t="shared" si="0"/>
        <v>5.2575879716356848E-2</v>
      </c>
      <c r="F63" s="809">
        <f>D63*E63</f>
        <v>310.14021672736777</v>
      </c>
      <c r="G63" s="130"/>
      <c r="H63" s="809">
        <f>'C.2.2-F 02'!P22</f>
        <v>4960.8645427549118</v>
      </c>
      <c r="I63" s="421">
        <f t="shared" si="1"/>
        <v>5.2575879716356848E-2</v>
      </c>
      <c r="J63" s="390">
        <f>H63*I63</f>
        <v>260.82181748902184</v>
      </c>
    </row>
    <row r="64" spans="1:10">
      <c r="A64" s="117">
        <v>50</v>
      </c>
      <c r="B64" s="127">
        <v>913</v>
      </c>
      <c r="C64" s="524" t="s">
        <v>973</v>
      </c>
      <c r="D64" s="809">
        <v>0</v>
      </c>
      <c r="E64" s="421">
        <f t="shared" si="0"/>
        <v>5.2575879716356848E-2</v>
      </c>
      <c r="F64" s="809">
        <f>D64*E64</f>
        <v>0</v>
      </c>
      <c r="G64" s="130"/>
      <c r="H64" s="809">
        <v>0</v>
      </c>
      <c r="I64" s="421">
        <f t="shared" si="1"/>
        <v>5.2575879716356848E-2</v>
      </c>
      <c r="J64" s="390">
        <f>H64*I64</f>
        <v>0</v>
      </c>
    </row>
    <row r="65" spans="1:10">
      <c r="A65" s="117">
        <v>51</v>
      </c>
      <c r="B65" s="529">
        <v>916</v>
      </c>
      <c r="C65" s="524" t="s">
        <v>974</v>
      </c>
      <c r="D65" s="1138">
        <v>0</v>
      </c>
      <c r="E65" s="421">
        <f t="shared" si="0"/>
        <v>5.2575879716356848E-2</v>
      </c>
      <c r="F65" s="1138">
        <f>D65*E65</f>
        <v>0</v>
      </c>
      <c r="G65" s="130"/>
      <c r="H65" s="1138">
        <v>0</v>
      </c>
      <c r="I65" s="421">
        <f t="shared" si="1"/>
        <v>5.2575879716356848E-2</v>
      </c>
      <c r="J65" s="393">
        <f>H65*I65</f>
        <v>0</v>
      </c>
    </row>
    <row r="66" spans="1:10">
      <c r="A66" s="117">
        <v>52</v>
      </c>
      <c r="B66" s="126"/>
      <c r="C66" s="530" t="s">
        <v>101</v>
      </c>
      <c r="D66" s="462">
        <f>SUM(D62:D65)</f>
        <v>5898.9068447461514</v>
      </c>
      <c r="E66" s="437"/>
      <c r="F66" s="462">
        <f>SUM(F62:F65)</f>
        <v>310.14021672736777</v>
      </c>
      <c r="G66" s="130"/>
      <c r="H66" s="462">
        <f>SUM(H62:H65)</f>
        <v>4960.8645427549118</v>
      </c>
      <c r="I66" s="421"/>
      <c r="J66" s="407">
        <f>SUM(J62:J65)</f>
        <v>260.82181748902184</v>
      </c>
    </row>
    <row r="67" spans="1:10">
      <c r="A67" s="117">
        <v>53</v>
      </c>
      <c r="B67" s="744"/>
      <c r="C67" s="119"/>
      <c r="D67" s="130"/>
      <c r="E67" s="421"/>
      <c r="F67" s="130"/>
      <c r="G67" s="130"/>
      <c r="H67" s="130"/>
      <c r="I67" s="421"/>
      <c r="J67" s="119"/>
    </row>
    <row r="68" spans="1:10" ht="15.75">
      <c r="A68" s="117">
        <v>54</v>
      </c>
      <c r="B68" s="126"/>
      <c r="C68" s="523" t="s">
        <v>82</v>
      </c>
      <c r="D68" s="130"/>
      <c r="E68" s="421"/>
      <c r="F68" s="130"/>
      <c r="G68" s="130"/>
      <c r="H68" s="130"/>
      <c r="I68" s="421"/>
      <c r="J68" s="119"/>
    </row>
    <row r="69" spans="1:10">
      <c r="A69" s="117">
        <v>55</v>
      </c>
      <c r="B69" s="127">
        <v>911</v>
      </c>
      <c r="C69" s="524" t="s">
        <v>493</v>
      </c>
      <c r="D69" s="462">
        <v>0</v>
      </c>
      <c r="E69" s="421">
        <f t="shared" si="0"/>
        <v>5.712253040952902E-2</v>
      </c>
      <c r="F69" s="462">
        <f>D69*E69</f>
        <v>0</v>
      </c>
      <c r="G69" s="130"/>
      <c r="H69" s="462">
        <v>0</v>
      </c>
      <c r="I69" s="421">
        <f t="shared" si="1"/>
        <v>5.712253040952902E-2</v>
      </c>
      <c r="J69" s="407">
        <f>H69*I69</f>
        <v>0</v>
      </c>
    </row>
    <row r="70" spans="1:10">
      <c r="A70" s="117">
        <v>56</v>
      </c>
      <c r="B70" s="127">
        <v>912</v>
      </c>
      <c r="C70" s="524" t="s">
        <v>999</v>
      </c>
      <c r="D70" s="809">
        <v>0</v>
      </c>
      <c r="E70" s="421">
        <f t="shared" si="0"/>
        <v>5.712253040952902E-2</v>
      </c>
      <c r="F70" s="809">
        <f>D70*E70</f>
        <v>0</v>
      </c>
      <c r="G70" s="130"/>
      <c r="H70" s="809">
        <v>0</v>
      </c>
      <c r="I70" s="421">
        <f t="shared" si="1"/>
        <v>5.712253040952902E-2</v>
      </c>
      <c r="J70" s="390">
        <f>H70*I70</f>
        <v>0</v>
      </c>
    </row>
    <row r="71" spans="1:10">
      <c r="A71" s="117">
        <v>57</v>
      </c>
      <c r="B71" s="127">
        <v>913</v>
      </c>
      <c r="C71" s="524" t="s">
        <v>973</v>
      </c>
      <c r="D71" s="809">
        <v>0</v>
      </c>
      <c r="E71" s="421">
        <f t="shared" si="0"/>
        <v>5.712253040952902E-2</v>
      </c>
      <c r="F71" s="809">
        <f>D71*E71</f>
        <v>0</v>
      </c>
      <c r="G71" s="130"/>
      <c r="H71" s="809">
        <v>0</v>
      </c>
      <c r="I71" s="421">
        <f t="shared" si="1"/>
        <v>5.712253040952902E-2</v>
      </c>
      <c r="J71" s="390">
        <f>H71*I71</f>
        <v>0</v>
      </c>
    </row>
    <row r="72" spans="1:10">
      <c r="A72" s="117">
        <v>58</v>
      </c>
      <c r="B72" s="529">
        <v>916</v>
      </c>
      <c r="C72" s="524" t="s">
        <v>974</v>
      </c>
      <c r="D72" s="1138">
        <v>0</v>
      </c>
      <c r="E72" s="421">
        <f t="shared" si="0"/>
        <v>5.712253040952902E-2</v>
      </c>
      <c r="F72" s="1138">
        <f>D72*E72</f>
        <v>0</v>
      </c>
      <c r="G72" s="130"/>
      <c r="H72" s="1138">
        <v>0</v>
      </c>
      <c r="I72" s="421">
        <f t="shared" si="1"/>
        <v>5.712253040952902E-2</v>
      </c>
      <c r="J72" s="393">
        <f>H72*I72</f>
        <v>0</v>
      </c>
    </row>
    <row r="73" spans="1:10">
      <c r="A73" s="117">
        <v>59</v>
      </c>
      <c r="B73" s="119"/>
      <c r="C73" s="530" t="s">
        <v>101</v>
      </c>
      <c r="D73" s="407">
        <f>SUM(D69:D72)</f>
        <v>0</v>
      </c>
      <c r="E73" s="438"/>
      <c r="F73" s="407">
        <f>SUM(F69:F72)</f>
        <v>0</v>
      </c>
      <c r="G73" s="119"/>
      <c r="H73" s="407">
        <f>SUM(H69:H72)</f>
        <v>0</v>
      </c>
      <c r="I73" s="437"/>
      <c r="J73" s="407">
        <f>SUM(J69:J72)</f>
        <v>0</v>
      </c>
    </row>
    <row r="76" spans="1:10">
      <c r="B76" s="838" t="s">
        <v>1105</v>
      </c>
      <c r="C76" s="106"/>
      <c r="D76" s="106"/>
      <c r="E76" s="106"/>
      <c r="F76" s="106"/>
      <c r="G76" s="106"/>
      <c r="H76" s="106"/>
      <c r="I76" s="106"/>
    </row>
    <row r="77" spans="1:10">
      <c r="B77" s="838" t="s">
        <v>1248</v>
      </c>
      <c r="C77" s="106"/>
      <c r="D77" s="106"/>
      <c r="E77" s="106"/>
      <c r="F77" s="106"/>
      <c r="G77" s="106"/>
      <c r="H77" s="106"/>
      <c r="I77" s="106"/>
    </row>
    <row r="79" spans="1:10">
      <c r="C79" s="771"/>
    </row>
  </sheetData>
  <mergeCells count="5">
    <mergeCell ref="A5:J5"/>
    <mergeCell ref="A1:J1"/>
    <mergeCell ref="A2:J2"/>
    <mergeCell ref="A3:J3"/>
    <mergeCell ref="A4:J4"/>
  </mergeCells>
  <phoneticPr fontId="24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P41"/>
  <sheetViews>
    <sheetView view="pageBreakPreview" zoomScale="60" zoomScaleNormal="90" workbookViewId="0">
      <selection activeCell="C33" sqref="C33"/>
    </sheetView>
  </sheetViews>
  <sheetFormatPr defaultRowHeight="15"/>
  <cols>
    <col min="1" max="1" width="4.109375" customWidth="1"/>
    <col min="2" max="2" width="38.33203125" customWidth="1"/>
    <col min="3" max="6" width="11.6640625" customWidth="1"/>
    <col min="7" max="7" width="10.109375" customWidth="1"/>
    <col min="8" max="8" width="4.109375" customWidth="1"/>
    <col min="9" max="9" width="11.33203125" customWidth="1"/>
    <col min="10" max="10" width="10.77734375" customWidth="1"/>
    <col min="11" max="11" width="12.44140625" bestFit="1" customWidth="1"/>
  </cols>
  <sheetData>
    <row r="1" spans="1:12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264"/>
      <c r="K1" s="1264"/>
      <c r="L1" s="119"/>
    </row>
    <row r="2" spans="1:12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19"/>
    </row>
    <row r="3" spans="1:12" ht="15.75">
      <c r="A3" s="1264" t="s">
        <v>1249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771"/>
    </row>
    <row r="4" spans="1:12" ht="15.75">
      <c r="A4" s="1264" t="str">
        <f>'Table of Contents'!A4:C4</f>
        <v>Forecasted Test Period: Twelve Months Ended May 31, 2017</v>
      </c>
      <c r="B4" s="1264"/>
      <c r="C4" s="1264"/>
      <c r="D4" s="1264"/>
      <c r="E4" s="1264"/>
      <c r="F4" s="1264"/>
      <c r="G4" s="1264"/>
      <c r="H4" s="1264"/>
      <c r="I4" s="1264"/>
      <c r="J4" s="1264"/>
      <c r="K4" s="1264"/>
      <c r="L4" s="771"/>
    </row>
    <row r="5" spans="1:12" ht="15.75">
      <c r="A5" s="1264"/>
      <c r="B5" s="1264"/>
      <c r="C5" s="1264"/>
      <c r="D5" s="1264"/>
      <c r="E5" s="1264"/>
      <c r="F5" s="1264"/>
      <c r="G5" s="1264"/>
      <c r="H5" s="1264"/>
      <c r="I5" s="1264"/>
      <c r="J5" s="1264"/>
      <c r="K5" s="1264"/>
      <c r="L5" s="119"/>
    </row>
    <row r="6" spans="1:12" ht="15.75">
      <c r="A6" s="12"/>
      <c r="B6" s="12"/>
      <c r="C6" s="119"/>
      <c r="D6" s="119"/>
      <c r="E6" s="772"/>
      <c r="F6" s="119"/>
      <c r="G6" s="119"/>
      <c r="H6" s="119"/>
      <c r="I6" s="119"/>
      <c r="J6" s="119"/>
      <c r="K6" s="119"/>
      <c r="L6" s="119"/>
    </row>
    <row r="7" spans="1:12" ht="15.75">
      <c r="A7" s="12"/>
      <c r="B7" s="12"/>
      <c r="C7" s="119"/>
      <c r="D7" s="119"/>
      <c r="E7" s="119"/>
      <c r="F7" s="119"/>
      <c r="G7" s="119"/>
      <c r="H7" s="119"/>
      <c r="I7" s="119"/>
      <c r="K7" s="119"/>
      <c r="L7" s="119"/>
    </row>
    <row r="8" spans="1:12">
      <c r="A8" s="95" t="s">
        <v>141</v>
      </c>
      <c r="B8" s="119"/>
      <c r="C8" s="119"/>
      <c r="D8" s="119"/>
      <c r="E8" s="119"/>
      <c r="F8" s="119"/>
      <c r="G8" s="119"/>
      <c r="H8" s="119"/>
      <c r="I8" s="119"/>
      <c r="K8" s="491" t="s">
        <v>1504</v>
      </c>
      <c r="L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H9" s="119"/>
      <c r="I9" s="119"/>
      <c r="K9" s="736" t="s">
        <v>1340</v>
      </c>
      <c r="L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119"/>
      <c r="I10" s="119"/>
      <c r="J10" s="81"/>
      <c r="K10" s="737" t="str">
        <f>F.1!$F$9</f>
        <v>Witness: Waller</v>
      </c>
      <c r="L10" s="119"/>
    </row>
    <row r="11" spans="1:12" ht="15.75">
      <c r="A11" s="162"/>
      <c r="B11" s="162"/>
      <c r="C11" s="1265" t="s">
        <v>333</v>
      </c>
      <c r="D11" s="1266"/>
      <c r="E11" s="1266"/>
      <c r="F11" s="1266"/>
      <c r="G11" s="1267"/>
      <c r="H11" s="162"/>
      <c r="I11" s="741"/>
      <c r="J11" s="742" t="s">
        <v>334</v>
      </c>
      <c r="K11" s="743"/>
      <c r="L11" s="119"/>
    </row>
    <row r="12" spans="1:12" ht="15.75">
      <c r="A12" s="120"/>
      <c r="B12" s="120"/>
      <c r="C12" s="531" t="s">
        <v>21</v>
      </c>
      <c r="D12" s="578" t="s">
        <v>1196</v>
      </c>
      <c r="E12" s="120"/>
      <c r="F12" s="585"/>
      <c r="G12" s="120"/>
      <c r="H12" s="120"/>
      <c r="I12" s="531" t="s">
        <v>21</v>
      </c>
      <c r="J12" s="585"/>
      <c r="K12" s="120"/>
      <c r="L12" s="119"/>
    </row>
    <row r="13" spans="1:12">
      <c r="A13" s="127" t="s">
        <v>98</v>
      </c>
      <c r="B13" s="127" t="s">
        <v>587</v>
      </c>
      <c r="C13" s="127" t="s">
        <v>623</v>
      </c>
      <c r="D13" s="165" t="s">
        <v>1197</v>
      </c>
      <c r="E13" s="127" t="s">
        <v>101</v>
      </c>
      <c r="F13" s="76" t="s">
        <v>11</v>
      </c>
      <c r="G13" s="126" t="s">
        <v>12</v>
      </c>
      <c r="H13" s="126"/>
      <c r="I13" s="127" t="s">
        <v>623</v>
      </c>
      <c r="J13" s="126" t="str">
        <f>F13</f>
        <v xml:space="preserve">Kentucky </v>
      </c>
      <c r="K13" s="126" t="s">
        <v>1000</v>
      </c>
      <c r="L13" s="119"/>
    </row>
    <row r="14" spans="1:12">
      <c r="A14" s="128" t="s">
        <v>104</v>
      </c>
      <c r="B14" s="128" t="s">
        <v>1101</v>
      </c>
      <c r="C14" s="541" t="s">
        <v>973</v>
      </c>
      <c r="D14" s="586" t="s">
        <v>973</v>
      </c>
      <c r="E14" s="128" t="s">
        <v>609</v>
      </c>
      <c r="F14" s="84" t="s">
        <v>102</v>
      </c>
      <c r="G14" s="128" t="s">
        <v>109</v>
      </c>
      <c r="H14" s="128"/>
      <c r="I14" s="541" t="s">
        <v>973</v>
      </c>
      <c r="J14" s="128" t="str">
        <f>F14</f>
        <v>Jurisdictional</v>
      </c>
      <c r="K14" s="128" t="s">
        <v>109</v>
      </c>
      <c r="L14" s="119"/>
    </row>
    <row r="15" spans="1:1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413"/>
    </row>
    <row r="17" spans="1:16" ht="15.75">
      <c r="A17" s="117">
        <v>1</v>
      </c>
      <c r="B17" s="568" t="s">
        <v>198</v>
      </c>
      <c r="C17" s="492"/>
      <c r="D17" s="492"/>
      <c r="E17" s="492"/>
      <c r="F17" s="100"/>
      <c r="G17" s="496"/>
      <c r="H17" s="100"/>
      <c r="I17" s="492"/>
      <c r="J17" s="100"/>
      <c r="K17" s="496"/>
      <c r="L17" s="366"/>
    </row>
    <row r="18" spans="1:16">
      <c r="A18" s="117">
        <v>2</v>
      </c>
      <c r="B18" s="500" t="s">
        <v>818</v>
      </c>
      <c r="C18" s="427">
        <f>'[20]advert summary'!$P$20</f>
        <v>32916.762107525225</v>
      </c>
      <c r="D18" s="427">
        <f>'[20]advert summary'!$P$10</f>
        <v>2962.1859884588271</v>
      </c>
      <c r="E18" s="427">
        <f>SUM(C18:D18)</f>
        <v>35878.948095984051</v>
      </c>
      <c r="F18" s="570">
        <v>1</v>
      </c>
      <c r="G18" s="427">
        <f>E18*F18</f>
        <v>35878.948095984051</v>
      </c>
      <c r="H18" s="100"/>
      <c r="I18" s="427">
        <f>C18</f>
        <v>32916.762107525225</v>
      </c>
      <c r="J18" s="570">
        <f>F18</f>
        <v>1</v>
      </c>
      <c r="K18" s="427">
        <f>I18*J18</f>
        <v>32916.762107525225</v>
      </c>
      <c r="L18" s="366"/>
    </row>
    <row r="19" spans="1:16">
      <c r="A19" s="117">
        <v>3</v>
      </c>
      <c r="B19" s="106"/>
      <c r="C19" s="492"/>
      <c r="D19" s="492"/>
      <c r="E19" s="492"/>
      <c r="F19" s="100"/>
      <c r="G19" s="496"/>
      <c r="H19" s="100"/>
      <c r="I19" s="492"/>
      <c r="J19" s="100"/>
      <c r="K19" s="496"/>
      <c r="L19" s="413"/>
      <c r="M19" s="106"/>
      <c r="N19" s="106"/>
      <c r="P19" s="106"/>
    </row>
    <row r="20" spans="1:16" ht="15.75">
      <c r="A20" s="117">
        <v>4</v>
      </c>
      <c r="B20" s="568" t="s">
        <v>83</v>
      </c>
      <c r="C20" s="496"/>
      <c r="D20" s="496"/>
      <c r="E20" s="496"/>
      <c r="F20" s="100"/>
      <c r="G20" s="496"/>
      <c r="H20" s="100"/>
      <c r="I20" s="496"/>
      <c r="J20" s="100"/>
      <c r="K20" s="496"/>
      <c r="L20" s="366"/>
      <c r="M20" s="106"/>
      <c r="N20" s="106"/>
      <c r="O20" s="106"/>
      <c r="P20" s="106"/>
    </row>
    <row r="21" spans="1:16">
      <c r="A21" s="117">
        <v>5</v>
      </c>
      <c r="B21" s="500" t="s">
        <v>818</v>
      </c>
      <c r="C21" s="496">
        <f>'[20]advert summary'!$P$34</f>
        <v>15700.460335098405</v>
      </c>
      <c r="D21" s="496">
        <f>'[20]advert summary'!$P$26</f>
        <v>316991.9135356411</v>
      </c>
      <c r="E21" s="496">
        <f>SUM(C21:D21)</f>
        <v>332692.37387073948</v>
      </c>
      <c r="F21" s="625">
        <f>Allocation!$I$17</f>
        <v>0.49090457251500325</v>
      </c>
      <c r="G21" s="496">
        <f>E21*F21</f>
        <v>163320.207574017</v>
      </c>
      <c r="H21" s="100"/>
      <c r="I21" s="496">
        <f>C21</f>
        <v>15700.460335098405</v>
      </c>
      <c r="J21" s="558">
        <f>Allocation!$E$17</f>
        <v>0.49090457251500325</v>
      </c>
      <c r="K21" s="496">
        <f>I21*J21</f>
        <v>7707.4277690902472</v>
      </c>
      <c r="L21" s="366"/>
      <c r="M21" s="106"/>
      <c r="N21" s="106"/>
      <c r="P21" s="106"/>
    </row>
    <row r="22" spans="1:16">
      <c r="A22" s="117">
        <v>6</v>
      </c>
      <c r="B22" s="366"/>
      <c r="C22" s="809"/>
      <c r="D22" s="809"/>
      <c r="E22" s="809"/>
      <c r="F22" s="130"/>
      <c r="G22" s="809"/>
      <c r="H22" s="130"/>
      <c r="I22" s="809"/>
      <c r="J22" s="119"/>
      <c r="K22" s="119"/>
      <c r="L22" s="366"/>
    </row>
    <row r="23" spans="1:16" ht="15.75">
      <c r="A23" s="117">
        <v>7</v>
      </c>
      <c r="B23" s="568" t="s">
        <v>81</v>
      </c>
      <c r="C23" s="809"/>
      <c r="D23" s="809"/>
      <c r="E23" s="809"/>
      <c r="F23" s="130"/>
      <c r="G23" s="809"/>
      <c r="H23" s="130"/>
      <c r="I23" s="809"/>
      <c r="J23" s="119"/>
      <c r="K23" s="119"/>
      <c r="L23" s="539"/>
    </row>
    <row r="24" spans="1:16">
      <c r="A24" s="117">
        <v>8</v>
      </c>
      <c r="B24" s="500" t="s">
        <v>818</v>
      </c>
      <c r="C24" s="496">
        <f>'[20]advert summary'!$P$43</f>
        <v>95819.997570249965</v>
      </c>
      <c r="D24" s="496">
        <v>0</v>
      </c>
      <c r="E24" s="496">
        <f>SUM(C24:D24)</f>
        <v>95819.997570249965</v>
      </c>
      <c r="F24" s="625">
        <f>Allocation!$I$14</f>
        <v>5.2575879716356848E-2</v>
      </c>
      <c r="G24" s="496">
        <f>E24*F24</f>
        <v>5037.8206666750675</v>
      </c>
      <c r="H24" s="130"/>
      <c r="I24" s="496">
        <f>C24</f>
        <v>95819.997570249965</v>
      </c>
      <c r="J24" s="558">
        <f>Allocation!$E$14</f>
        <v>5.2575879716356848E-2</v>
      </c>
      <c r="K24" s="496">
        <f>I24*J24</f>
        <v>5037.8206666750675</v>
      </c>
      <c r="L24" s="534"/>
    </row>
    <row r="25" spans="1:16">
      <c r="A25" s="117">
        <v>9</v>
      </c>
      <c r="B25" s="539"/>
      <c r="C25" s="809"/>
      <c r="D25" s="809"/>
      <c r="E25" s="809"/>
      <c r="F25" s="130"/>
      <c r="G25" s="809"/>
      <c r="H25" s="130"/>
      <c r="I25" s="809"/>
      <c r="J25" s="119"/>
      <c r="K25" s="119"/>
      <c r="L25" s="119"/>
    </row>
    <row r="26" spans="1:16" ht="15.75">
      <c r="A26" s="117">
        <v>10</v>
      </c>
      <c r="B26" s="568" t="s">
        <v>82</v>
      </c>
      <c r="C26" s="809"/>
      <c r="D26" s="809"/>
      <c r="E26" s="809"/>
      <c r="F26" s="130"/>
      <c r="G26" s="809"/>
      <c r="H26" s="130"/>
      <c r="I26" s="809"/>
      <c r="J26" s="119"/>
      <c r="K26" s="119"/>
      <c r="L26" s="119"/>
    </row>
    <row r="27" spans="1:16">
      <c r="A27" s="117">
        <v>11</v>
      </c>
      <c r="B27" s="500" t="s">
        <v>818</v>
      </c>
      <c r="C27" s="496">
        <f>'[20]advert summary'!$P$49</f>
        <v>2343.3900000000003</v>
      </c>
      <c r="D27" s="496">
        <v>0</v>
      </c>
      <c r="E27" s="496">
        <f>SUM(C27:D27)</f>
        <v>2343.3900000000003</v>
      </c>
      <c r="F27" s="625">
        <f>Allocation!$I$15</f>
        <v>5.712253040952902E-2</v>
      </c>
      <c r="G27" s="496">
        <f>E27*F27</f>
        <v>133.86036653638624</v>
      </c>
      <c r="H27" s="130"/>
      <c r="I27" s="496">
        <f>C27</f>
        <v>2343.3900000000003</v>
      </c>
      <c r="J27" s="558">
        <f>Allocation!$E$15</f>
        <v>5.712253040952902E-2</v>
      </c>
      <c r="K27" s="496">
        <f>I27*J27</f>
        <v>133.86036653638624</v>
      </c>
      <c r="L27" s="119"/>
    </row>
    <row r="28" spans="1:16">
      <c r="A28" s="117">
        <v>12</v>
      </c>
      <c r="G28" s="390"/>
    </row>
    <row r="29" spans="1:16" ht="16.5" thickBot="1">
      <c r="A29" s="117">
        <v>13</v>
      </c>
      <c r="B29" s="569" t="s">
        <v>953</v>
      </c>
      <c r="C29" s="425">
        <f>SUM(C18:C27)</f>
        <v>146780.6100128736</v>
      </c>
      <c r="D29" s="425">
        <f>SUM(D18:D27)</f>
        <v>319954.0995240999</v>
      </c>
      <c r="E29" s="425">
        <f>SUM(E18:E27)</f>
        <v>466734.7095369735</v>
      </c>
      <c r="G29" s="425">
        <f>SUM(G18:G27)</f>
        <v>204370.83670321252</v>
      </c>
      <c r="I29" s="425">
        <f>SUM(I18:I27)</f>
        <v>146780.6100128736</v>
      </c>
      <c r="K29" s="425">
        <f>SUM(K18:K27)</f>
        <v>45795.870909826925</v>
      </c>
    </row>
    <row r="30" spans="1:16" ht="15.75" thickTop="1"/>
    <row r="32" spans="1:16">
      <c r="B32" s="564"/>
    </row>
    <row r="33" spans="2:2">
      <c r="B33" s="564"/>
    </row>
    <row r="34" spans="2:2">
      <c r="B34" t="s">
        <v>533</v>
      </c>
    </row>
    <row r="35" spans="2:2">
      <c r="B35" t="s">
        <v>1598</v>
      </c>
    </row>
    <row r="36" spans="2:2">
      <c r="B36" s="106" t="s">
        <v>1594</v>
      </c>
    </row>
    <row r="39" spans="2:2">
      <c r="B39" s="771"/>
    </row>
    <row r="40" spans="2:2">
      <c r="B40" s="771"/>
    </row>
    <row r="41" spans="2:2">
      <c r="B41" s="771"/>
    </row>
  </sheetData>
  <mergeCells count="6">
    <mergeCell ref="C11:G11"/>
    <mergeCell ref="A5:K5"/>
    <mergeCell ref="A1:K1"/>
    <mergeCell ref="A2:K2"/>
    <mergeCell ref="A3:K3"/>
    <mergeCell ref="A4:K4"/>
  </mergeCells>
  <phoneticPr fontId="24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topLeftCell="A4" zoomScale="60" zoomScaleNormal="90" workbookViewId="0">
      <selection activeCell="C35" sqref="C35"/>
    </sheetView>
  </sheetViews>
  <sheetFormatPr defaultRowHeight="15"/>
  <cols>
    <col min="1" max="1" width="5.88671875" customWidth="1"/>
    <col min="2" max="2" width="34.6640625" customWidth="1"/>
    <col min="3" max="3" width="13.5546875" bestFit="1" customWidth="1"/>
    <col min="4" max="4" width="11.109375" customWidth="1"/>
    <col min="5" max="5" width="10.88671875" customWidth="1"/>
    <col min="6" max="6" width="4.21875" customWidth="1"/>
    <col min="7" max="7" width="11" bestFit="1" customWidth="1"/>
    <col min="8" max="8" width="12" customWidth="1"/>
    <col min="9" max="9" width="9.88671875" customWidth="1"/>
  </cols>
  <sheetData>
    <row r="1" spans="1:12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</row>
    <row r="2" spans="1:12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262"/>
      <c r="I2" s="1262"/>
      <c r="J2" s="119"/>
    </row>
    <row r="3" spans="1:12" ht="15.75">
      <c r="A3" s="1262" t="s">
        <v>434</v>
      </c>
      <c r="B3" s="1262"/>
      <c r="C3" s="1262"/>
      <c r="D3" s="1262"/>
      <c r="E3" s="1262"/>
      <c r="F3" s="1262"/>
      <c r="G3" s="1262"/>
      <c r="H3" s="1262"/>
      <c r="I3" s="1262"/>
      <c r="J3" s="119"/>
    </row>
    <row r="4" spans="1:12" ht="15.75">
      <c r="A4" s="1262" t="str">
        <f>'Table of Contents'!A3:C3</f>
        <v>Base Period: Twelve Months Ended February 29, 2016</v>
      </c>
      <c r="B4" s="1262"/>
      <c r="C4" s="1262"/>
      <c r="D4" s="1262"/>
      <c r="E4" s="1262"/>
      <c r="F4" s="1262"/>
      <c r="G4" s="1262"/>
      <c r="H4" s="1262"/>
      <c r="I4" s="1262"/>
      <c r="J4" s="119"/>
    </row>
    <row r="5" spans="1:12" ht="15.75">
      <c r="A5" s="1262" t="str">
        <f>'Table of Contents'!A4:C4</f>
        <v>Forecasted Test Period: Twelve Months Ended May 31, 2017</v>
      </c>
      <c r="B5" s="1262"/>
      <c r="C5" s="1262"/>
      <c r="D5" s="1262"/>
      <c r="E5" s="1262"/>
      <c r="F5" s="1262"/>
      <c r="G5" s="1262"/>
      <c r="H5" s="1262"/>
      <c r="I5" s="1262"/>
      <c r="J5" s="119"/>
    </row>
    <row r="6" spans="1:12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2" ht="15.75">
      <c r="A7" s="95" t="s">
        <v>141</v>
      </c>
      <c r="B7" s="119"/>
      <c r="C7" s="12"/>
      <c r="D7" s="119"/>
      <c r="E7" s="119"/>
      <c r="F7" s="119"/>
      <c r="G7" s="119"/>
      <c r="I7" s="491" t="s">
        <v>1504</v>
      </c>
      <c r="J7" s="119"/>
    </row>
    <row r="8" spans="1:12" ht="15.75">
      <c r="A8" s="95" t="s">
        <v>1144</v>
      </c>
      <c r="B8" s="119"/>
      <c r="C8" s="12"/>
      <c r="D8" s="119"/>
      <c r="E8" s="119"/>
      <c r="F8" s="119"/>
      <c r="G8" s="119"/>
      <c r="I8" s="736" t="s">
        <v>588</v>
      </c>
      <c r="J8" s="119"/>
    </row>
    <row r="9" spans="1:12" ht="15.75">
      <c r="A9" s="95" t="s">
        <v>375</v>
      </c>
      <c r="B9" s="119"/>
      <c r="C9" s="12"/>
      <c r="D9" s="119"/>
      <c r="E9" s="119"/>
      <c r="F9" s="119"/>
      <c r="G9" s="119"/>
      <c r="I9" s="737" t="str">
        <f>F.1!$F$9</f>
        <v>Witness: Waller</v>
      </c>
      <c r="J9" s="119"/>
    </row>
    <row r="10" spans="1:12" ht="15.75">
      <c r="A10" s="162"/>
      <c r="B10" s="162"/>
      <c r="C10" s="741"/>
      <c r="D10" s="742" t="s">
        <v>333</v>
      </c>
      <c r="E10" s="743"/>
      <c r="F10" s="162"/>
      <c r="G10" s="741"/>
      <c r="H10" s="742" t="s">
        <v>334</v>
      </c>
      <c r="I10" s="743"/>
      <c r="J10" s="119"/>
    </row>
    <row r="11" spans="1:12">
      <c r="A11" s="127" t="s">
        <v>98</v>
      </c>
      <c r="B11" s="119"/>
      <c r="C11" s="127" t="s">
        <v>101</v>
      </c>
      <c r="D11" s="76" t="s">
        <v>11</v>
      </c>
      <c r="E11" s="126" t="s">
        <v>12</v>
      </c>
      <c r="F11" s="119"/>
      <c r="G11" s="127" t="s">
        <v>101</v>
      </c>
      <c r="H11" s="126" t="str">
        <f>D11</f>
        <v xml:space="preserve">Kentucky </v>
      </c>
      <c r="I11" s="126" t="s">
        <v>1000</v>
      </c>
      <c r="J11" s="119"/>
    </row>
    <row r="12" spans="1:12">
      <c r="A12" s="128" t="s">
        <v>104</v>
      </c>
      <c r="B12" s="128" t="s">
        <v>1004</v>
      </c>
      <c r="C12" s="128" t="s">
        <v>609</v>
      </c>
      <c r="D12" s="84" t="s">
        <v>102</v>
      </c>
      <c r="E12" s="128" t="s">
        <v>109</v>
      </c>
      <c r="F12" s="124"/>
      <c r="G12" s="128" t="s">
        <v>609</v>
      </c>
      <c r="H12" s="128" t="str">
        <f>D12</f>
        <v>Jurisdictional</v>
      </c>
      <c r="I12" s="128" t="s">
        <v>109</v>
      </c>
      <c r="J12" s="119"/>
    </row>
    <row r="13" spans="1:12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2" ht="15.75">
      <c r="A14" s="126"/>
      <c r="B14" s="930" t="s">
        <v>1256</v>
      </c>
      <c r="C14" s="772"/>
      <c r="D14" s="119"/>
      <c r="E14" s="119"/>
      <c r="F14" s="119"/>
      <c r="G14" s="119"/>
      <c r="H14" s="119"/>
      <c r="I14" s="119"/>
      <c r="J14" s="119"/>
    </row>
    <row r="15" spans="1:12" ht="15.75">
      <c r="A15" s="127">
        <v>1</v>
      </c>
      <c r="B15" s="117"/>
      <c r="C15" s="839"/>
      <c r="D15" s="117"/>
      <c r="E15" s="117"/>
      <c r="F15" s="117"/>
      <c r="G15" s="119"/>
      <c r="H15" s="131"/>
      <c r="I15" s="117"/>
      <c r="J15" s="119"/>
    </row>
    <row r="16" spans="1:12">
      <c r="A16" s="126">
        <f>A15+1</f>
        <v>2</v>
      </c>
      <c r="B16" s="413" t="s">
        <v>198</v>
      </c>
      <c r="D16" s="536"/>
      <c r="F16" s="166"/>
      <c r="G16" s="531"/>
      <c r="H16" s="166"/>
      <c r="I16" s="532"/>
      <c r="L16" s="771"/>
    </row>
    <row r="17" spans="1:10">
      <c r="A17" s="126">
        <f t="shared" ref="A17:A34" si="0">A16+1</f>
        <v>3</v>
      </c>
      <c r="B17" s="366" t="s">
        <v>1001</v>
      </c>
      <c r="C17" s="1178">
        <f>SUM('[12]Div 9 forecast'!$F$398:$Q$398)</f>
        <v>18377.722826864156</v>
      </c>
      <c r="D17" s="1168">
        <v>1</v>
      </c>
      <c r="E17" s="1178">
        <f>C17*D17</f>
        <v>18377.722826864156</v>
      </c>
      <c r="F17" s="532"/>
      <c r="G17" s="1178">
        <f>SUM('[12]Div 9 forecast'!$U$398:$AF$398)</f>
        <v>17040.993071551977</v>
      </c>
      <c r="H17" s="536">
        <f>D17</f>
        <v>1</v>
      </c>
      <c r="I17" s="745">
        <f>G17*H17</f>
        <v>17040.993071551977</v>
      </c>
    </row>
    <row r="18" spans="1:10">
      <c r="A18" s="126">
        <f t="shared" si="0"/>
        <v>4</v>
      </c>
      <c r="B18" s="366" t="s">
        <v>1002</v>
      </c>
      <c r="C18" s="1178">
        <f>SUM('[12]Div 9 forecast'!$F$402:$Q$402)</f>
        <v>183060.42356750253</v>
      </c>
      <c r="D18" s="1168">
        <f>D17</f>
        <v>1</v>
      </c>
      <c r="E18" s="1179">
        <f>C18*D18</f>
        <v>183060.42356750253</v>
      </c>
      <c r="F18" s="532"/>
      <c r="G18" s="1178">
        <f>SUM('[12]Div 9 forecast'!$U$402:$AF$402)</f>
        <v>169745.26382175693</v>
      </c>
      <c r="H18" s="536">
        <f>D18</f>
        <v>1</v>
      </c>
      <c r="I18" s="540">
        <f>G18*H18</f>
        <v>169745.26382175693</v>
      </c>
    </row>
    <row r="19" spans="1:10">
      <c r="A19" s="126">
        <f t="shared" si="0"/>
        <v>5</v>
      </c>
      <c r="B19" s="539" t="s">
        <v>503</v>
      </c>
      <c r="C19" s="1180">
        <f>SUM(C16:C18)</f>
        <v>201438.14639436669</v>
      </c>
      <c r="D19" s="1168"/>
      <c r="E19" s="1178">
        <f>SUM(E16:E18)</f>
        <v>201438.14639436669</v>
      </c>
      <c r="F19" s="532"/>
      <c r="G19" s="1180">
        <f>SUM(G16:G18)</f>
        <v>186786.25689330892</v>
      </c>
      <c r="H19" s="166"/>
      <c r="I19" s="745">
        <f>SUM(I16:I18)</f>
        <v>186786.25689330892</v>
      </c>
    </row>
    <row r="20" spans="1:10">
      <c r="A20" s="126">
        <f t="shared" si="0"/>
        <v>6</v>
      </c>
      <c r="B20" s="534"/>
      <c r="C20" s="1181"/>
      <c r="D20" s="808"/>
      <c r="E20" s="1181"/>
      <c r="F20" s="1079"/>
      <c r="G20" s="1181"/>
      <c r="H20" s="120"/>
      <c r="I20" s="535"/>
      <c r="J20" s="119"/>
    </row>
    <row r="21" spans="1:10">
      <c r="A21" s="126">
        <f t="shared" si="0"/>
        <v>7</v>
      </c>
      <c r="B21" s="413" t="s">
        <v>83</v>
      </c>
      <c r="C21" s="497"/>
      <c r="D21" s="1182"/>
      <c r="E21" s="497"/>
      <c r="F21" s="1171"/>
      <c r="G21" s="497"/>
      <c r="H21" s="533"/>
      <c r="I21" s="498"/>
      <c r="J21" s="119"/>
    </row>
    <row r="22" spans="1:10">
      <c r="A22" s="126">
        <f t="shared" si="0"/>
        <v>8</v>
      </c>
      <c r="B22" s="366" t="s">
        <v>1001</v>
      </c>
      <c r="C22" s="1178">
        <f>SUM('[12]Div 91 forecast'!$F$220:$Q$220)</f>
        <v>15586.007759557455</v>
      </c>
      <c r="D22" s="1182">
        <f>Allocation!$I$17</f>
        <v>0.49090457251500325</v>
      </c>
      <c r="E22" s="1183">
        <f>C22*D22</f>
        <v>7651.2424764210755</v>
      </c>
      <c r="F22" s="1171"/>
      <c r="G22" s="1178">
        <f>SUM('[12]Div 91 forecast'!$U$220:$AF$220)</f>
        <v>17890.419190388129</v>
      </c>
      <c r="H22" s="538">
        <f>Allocation!$E$17</f>
        <v>0.49090457251500325</v>
      </c>
      <c r="I22" s="746">
        <f>G22*H22</f>
        <v>8782.4885847716941</v>
      </c>
      <c r="J22" s="119"/>
    </row>
    <row r="23" spans="1:10">
      <c r="A23" s="126">
        <f t="shared" si="0"/>
        <v>9</v>
      </c>
      <c r="B23" s="366" t="s">
        <v>1002</v>
      </c>
      <c r="C23" s="1178">
        <f>SUM('[12]Div 91 forecast'!$F$223:$Q$223)</f>
        <v>156697.77615030349</v>
      </c>
      <c r="D23" s="1182">
        <f>D22</f>
        <v>0.49090457251500325</v>
      </c>
      <c r="E23" s="1184">
        <f>C23*D23</f>
        <v>76923.654815116402</v>
      </c>
      <c r="F23" s="1171"/>
      <c r="G23" s="1178">
        <f>SUM('[12]Div 91 forecast'!$U$223:$AF$223)</f>
        <v>179865.74527473046</v>
      </c>
      <c r="H23" s="560">
        <f>H22</f>
        <v>0.49090457251500325</v>
      </c>
      <c r="I23" s="542">
        <f>G23*H23</f>
        <v>88296.916794184028</v>
      </c>
      <c r="J23" s="119"/>
    </row>
    <row r="24" spans="1:10">
      <c r="A24" s="126">
        <f t="shared" si="0"/>
        <v>10</v>
      </c>
      <c r="B24" s="539" t="s">
        <v>503</v>
      </c>
      <c r="C24" s="1180">
        <f>SUM(C22:C23)</f>
        <v>172283.78390986094</v>
      </c>
      <c r="D24" s="1182"/>
      <c r="E24" s="1178">
        <f>SUM(E22:E23)</f>
        <v>84574.897291537476</v>
      </c>
      <c r="F24" s="1171"/>
      <c r="G24" s="1180">
        <f>SUM(G22:G23)</f>
        <v>197756.16446511861</v>
      </c>
      <c r="H24" s="579"/>
      <c r="I24" s="745">
        <f>SUM(I22:I23)</f>
        <v>97079.405378955722</v>
      </c>
      <c r="J24" s="119"/>
    </row>
    <row r="25" spans="1:10">
      <c r="A25" s="126">
        <f t="shared" si="0"/>
        <v>11</v>
      </c>
      <c r="B25" s="534"/>
      <c r="C25" s="1181"/>
      <c r="D25" s="1173"/>
      <c r="E25" s="1181"/>
      <c r="F25" s="1079"/>
      <c r="G25" s="1181"/>
      <c r="H25" s="561"/>
      <c r="I25" s="535"/>
      <c r="J25" s="119"/>
    </row>
    <row r="26" spans="1:10">
      <c r="A26" s="126">
        <f t="shared" si="0"/>
        <v>12</v>
      </c>
      <c r="B26" s="534" t="s">
        <v>81</v>
      </c>
      <c r="C26" s="1181"/>
      <c r="D26" s="421"/>
      <c r="E26" s="1181"/>
      <c r="F26" s="130"/>
      <c r="G26" s="1181"/>
      <c r="H26" s="562"/>
      <c r="I26" s="535"/>
      <c r="J26" s="119"/>
    </row>
    <row r="27" spans="1:10">
      <c r="A27" s="126">
        <f t="shared" si="0"/>
        <v>13</v>
      </c>
      <c r="B27" s="366" t="s">
        <v>1001</v>
      </c>
      <c r="C27" s="1178">
        <f>SUM('[12]Div 2 forecast'!$F$226:$Q$226)</f>
        <v>8010804.1813063165</v>
      </c>
      <c r="D27" s="421">
        <f>Allocation!$I$14</f>
        <v>5.2575879716356848E-2</v>
      </c>
      <c r="E27" s="1183">
        <f>C27*D27</f>
        <v>421175.0770676494</v>
      </c>
      <c r="F27" s="130"/>
      <c r="G27" s="1178">
        <f>SUM('[12]Div 2 forecast'!$U$226:$AF$226)</f>
        <v>8679257.4564381838</v>
      </c>
      <c r="H27" s="422">
        <f>Allocation!$E$14</f>
        <v>5.2575879716356848E-2</v>
      </c>
      <c r="I27" s="746">
        <f>G27*H27</f>
        <v>456319.59605698724</v>
      </c>
      <c r="J27" s="119"/>
    </row>
    <row r="28" spans="1:10">
      <c r="A28" s="126">
        <f t="shared" si="0"/>
        <v>14</v>
      </c>
      <c r="B28" s="366" t="s">
        <v>1002</v>
      </c>
      <c r="C28" s="1178">
        <f>SUM('[12]Div 2 forecast'!$F$232:$Q$232)</f>
        <v>65961.364270977749</v>
      </c>
      <c r="D28" s="1173">
        <f>D27</f>
        <v>5.2575879716356848E-2</v>
      </c>
      <c r="E28" s="1185">
        <f>C28*D28</f>
        <v>3467.9767538377241</v>
      </c>
      <c r="F28" s="130"/>
      <c r="G28" s="1178">
        <f>SUM('[12]Div 2 forecast'!$U$232:$AF$232)</f>
        <v>71465.442136467551</v>
      </c>
      <c r="H28" s="560">
        <f>H27</f>
        <v>5.2575879716356848E-2</v>
      </c>
      <c r="I28" s="543">
        <f>G28*H28</f>
        <v>3757.3584896431785</v>
      </c>
      <c r="J28" s="119"/>
    </row>
    <row r="29" spans="1:10">
      <c r="A29" s="126">
        <f t="shared" si="0"/>
        <v>15</v>
      </c>
      <c r="B29" s="539" t="s">
        <v>503</v>
      </c>
      <c r="C29" s="1180">
        <f>SUM(C27:C28)</f>
        <v>8076765.5455772942</v>
      </c>
      <c r="D29" s="421"/>
      <c r="E29" s="1178">
        <f>SUM(E27:E28)</f>
        <v>424643.05382148712</v>
      </c>
      <c r="F29" s="130"/>
      <c r="G29" s="1180">
        <f>SUM(G27:G28)</f>
        <v>8750722.8985746522</v>
      </c>
      <c r="H29" s="562"/>
      <c r="I29" s="745">
        <f>SUM(I27:I28)</f>
        <v>460076.95454663044</v>
      </c>
      <c r="J29" s="119"/>
    </row>
    <row r="30" spans="1:10">
      <c r="A30" s="126">
        <f t="shared" si="0"/>
        <v>16</v>
      </c>
      <c r="B30" s="534"/>
      <c r="C30" s="1181"/>
      <c r="D30" s="421"/>
      <c r="E30" s="1181"/>
      <c r="F30" s="130"/>
      <c r="G30" s="1181"/>
      <c r="H30" s="562"/>
      <c r="I30" s="535"/>
      <c r="J30" s="119"/>
    </row>
    <row r="31" spans="1:10">
      <c r="A31" s="126">
        <f t="shared" si="0"/>
        <v>17</v>
      </c>
      <c r="B31" s="534" t="s">
        <v>82</v>
      </c>
      <c r="C31" s="1181"/>
      <c r="D31" s="421"/>
      <c r="E31" s="1181"/>
      <c r="F31" s="106"/>
      <c r="G31" s="1181"/>
      <c r="H31" s="580"/>
      <c r="I31" s="535"/>
    </row>
    <row r="32" spans="1:10">
      <c r="A32" s="126">
        <f t="shared" si="0"/>
        <v>18</v>
      </c>
      <c r="B32" s="366" t="s">
        <v>1001</v>
      </c>
      <c r="C32" s="462">
        <f>SUM('[12]Div 12 forecast'!$F$149:$Q$149)</f>
        <v>353033.80054670363</v>
      </c>
      <c r="D32" s="421">
        <f>Allocation!$I$15</f>
        <v>5.712253040952902E-2</v>
      </c>
      <c r="E32" s="462">
        <f>C32*D32</f>
        <v>20166.18400732068</v>
      </c>
      <c r="F32" s="106"/>
      <c r="G32" s="462">
        <f>SUM('[12]Div 12 forecast'!$U$149:$AF$149)</f>
        <v>195123.8713091258</v>
      </c>
      <c r="H32" s="422">
        <f>Allocation!$E$15</f>
        <v>5.712253040952902E-2</v>
      </c>
      <c r="I32" s="407">
        <f>G32*H32</f>
        <v>11145.969272480565</v>
      </c>
    </row>
    <row r="33" spans="1:11">
      <c r="A33" s="126">
        <f t="shared" si="0"/>
        <v>19</v>
      </c>
      <c r="B33" s="366" t="s">
        <v>1002</v>
      </c>
      <c r="C33" s="462">
        <v>0</v>
      </c>
      <c r="D33" s="421">
        <f>D32</f>
        <v>5.712253040952902E-2</v>
      </c>
      <c r="E33" s="1186">
        <f>C33*D33</f>
        <v>0</v>
      </c>
      <c r="F33" s="106"/>
      <c r="G33" s="462">
        <v>0</v>
      </c>
      <c r="H33" s="560">
        <f>H32</f>
        <v>5.712253040952902E-2</v>
      </c>
      <c r="I33" s="418">
        <f>G33*H33</f>
        <v>0</v>
      </c>
      <c r="K33" s="1060"/>
    </row>
    <row r="34" spans="1:11">
      <c r="A34" s="126">
        <f t="shared" si="0"/>
        <v>20</v>
      </c>
      <c r="B34" s="539" t="s">
        <v>503</v>
      </c>
      <c r="C34" s="790">
        <f>SUM(C32:C33)</f>
        <v>353033.80054670363</v>
      </c>
      <c r="E34" s="407">
        <f>SUM(E32:E33)</f>
        <v>20166.18400732068</v>
      </c>
      <c r="G34" s="790">
        <f>SUM(G32:G33)</f>
        <v>195123.8713091258</v>
      </c>
      <c r="H34" s="580"/>
      <c r="I34" s="407">
        <f>SUM(I32:I33)</f>
        <v>11145.969272480565</v>
      </c>
    </row>
    <row r="37" spans="1:11">
      <c r="A37" s="89" t="s">
        <v>418</v>
      </c>
    </row>
    <row r="40" spans="1:11" ht="15.75">
      <c r="C40" s="772"/>
    </row>
    <row r="42" spans="1:11">
      <c r="B42" t="s">
        <v>533</v>
      </c>
    </row>
    <row r="43" spans="1:11">
      <c r="B43" t="s">
        <v>1594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N51"/>
  <sheetViews>
    <sheetView view="pageBreakPreview" zoomScale="60" zoomScaleNormal="90" workbookViewId="0">
      <selection activeCell="I30" sqref="I30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19.109375" customWidth="1"/>
    <col min="12" max="12" width="13.33203125" customWidth="1"/>
    <col min="13" max="13" width="23.109375" customWidth="1"/>
    <col min="14" max="14" width="23.33203125" customWidth="1"/>
  </cols>
  <sheetData>
    <row r="1" spans="1:14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931"/>
      <c r="G1" s="1"/>
      <c r="H1" s="1"/>
      <c r="I1" s="1"/>
      <c r="J1" s="1"/>
    </row>
    <row r="2" spans="1:14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001"/>
      <c r="G2" s="107"/>
      <c r="H2" s="107"/>
      <c r="I2" s="107"/>
      <c r="J2" s="1"/>
    </row>
    <row r="3" spans="1:14" ht="15.75">
      <c r="A3" s="1264" t="s">
        <v>225</v>
      </c>
      <c r="B3" s="1264"/>
      <c r="C3" s="1264"/>
      <c r="D3" s="1264"/>
      <c r="E3" s="1264"/>
      <c r="F3" s="931"/>
      <c r="G3" s="1004"/>
      <c r="H3" s="107"/>
      <c r="I3" s="107"/>
      <c r="J3" s="1"/>
    </row>
    <row r="4" spans="1:14" ht="15.75">
      <c r="A4" s="12"/>
      <c r="B4" s="1"/>
      <c r="C4" s="1"/>
      <c r="D4" s="1"/>
      <c r="E4" s="1"/>
      <c r="F4" s="107"/>
      <c r="G4" s="890"/>
      <c r="H4" s="890"/>
      <c r="I4" s="890"/>
      <c r="J4" s="1"/>
    </row>
    <row r="5" spans="1:14" ht="15.75">
      <c r="A5" s="12"/>
      <c r="B5" s="1"/>
      <c r="C5" s="1"/>
      <c r="D5" s="1"/>
      <c r="E5" s="1"/>
      <c r="F5" s="107"/>
      <c r="G5" s="890"/>
      <c r="H5" s="890"/>
      <c r="I5" s="890"/>
    </row>
    <row r="6" spans="1:14" ht="15.75">
      <c r="A6" s="12"/>
      <c r="B6" s="1"/>
      <c r="C6" s="1"/>
      <c r="D6" s="1"/>
      <c r="F6" s="107"/>
      <c r="G6" s="890"/>
      <c r="H6" s="890"/>
      <c r="I6" s="890"/>
    </row>
    <row r="7" spans="1:14">
      <c r="A7" s="95" t="s">
        <v>581</v>
      </c>
      <c r="C7" s="1"/>
      <c r="D7" s="1"/>
      <c r="E7" s="747" t="s">
        <v>1504</v>
      </c>
      <c r="F7" s="1"/>
      <c r="G7" s="771"/>
      <c r="H7" s="771"/>
      <c r="I7" s="771"/>
    </row>
    <row r="8" spans="1:14">
      <c r="A8" s="95" t="s">
        <v>631</v>
      </c>
      <c r="C8" s="1"/>
      <c r="D8" s="1"/>
      <c r="E8" s="648" t="s">
        <v>77</v>
      </c>
      <c r="F8" s="1"/>
      <c r="G8" s="1003"/>
      <c r="H8" s="771"/>
      <c r="I8" s="771"/>
    </row>
    <row r="9" spans="1:14">
      <c r="A9" s="748" t="s">
        <v>440</v>
      </c>
      <c r="B9" s="75"/>
      <c r="C9" s="45"/>
      <c r="D9" s="45"/>
      <c r="E9" s="795" t="str">
        <f>F.1!$F$9</f>
        <v>Witness: Waller</v>
      </c>
      <c r="F9" s="1"/>
      <c r="G9" s="771"/>
      <c r="H9" s="771"/>
      <c r="I9" s="771"/>
      <c r="J9" s="1"/>
    </row>
    <row r="10" spans="1:14" ht="15.75">
      <c r="B10" s="32"/>
      <c r="C10" s="1"/>
      <c r="D10" s="1"/>
      <c r="E10" s="175"/>
      <c r="F10" s="1"/>
      <c r="H10" s="1"/>
      <c r="I10" s="1"/>
      <c r="J10" s="1"/>
    </row>
    <row r="11" spans="1:14">
      <c r="A11" s="127" t="s">
        <v>98</v>
      </c>
      <c r="B11" s="119"/>
      <c r="C11" s="1"/>
      <c r="D11" s="1"/>
      <c r="E11" s="175"/>
      <c r="F11" s="1"/>
      <c r="G11" s="771"/>
      <c r="J11" s="1"/>
    </row>
    <row r="12" spans="1:14" ht="15.75">
      <c r="A12" s="128" t="s">
        <v>104</v>
      </c>
      <c r="B12" s="128" t="s">
        <v>1004</v>
      </c>
      <c r="C12" s="45"/>
      <c r="D12" s="45"/>
      <c r="E12" s="541" t="s">
        <v>109</v>
      </c>
      <c r="F12" s="1"/>
      <c r="H12" s="129" t="s">
        <v>1554</v>
      </c>
      <c r="J12" s="1"/>
      <c r="L12" s="129" t="s">
        <v>1553</v>
      </c>
      <c r="M12" s="1058"/>
      <c r="N12" s="1"/>
    </row>
    <row r="13" spans="1:14">
      <c r="A13" s="531"/>
      <c r="B13" s="531"/>
      <c r="C13" s="1"/>
      <c r="D13" s="1"/>
      <c r="E13" s="1"/>
      <c r="F13" s="1"/>
      <c r="I13" s="1082" t="s">
        <v>1551</v>
      </c>
      <c r="J13" s="1083" t="s">
        <v>1552</v>
      </c>
      <c r="L13" s="1058"/>
      <c r="M13" s="1082" t="s">
        <v>1551</v>
      </c>
      <c r="N13" s="1083" t="s">
        <v>1552</v>
      </c>
    </row>
    <row r="14" spans="1:14" ht="15.75">
      <c r="A14" s="76">
        <v>1</v>
      </c>
      <c r="B14" s="203" t="s">
        <v>226</v>
      </c>
      <c r="H14" s="855" t="s">
        <v>1550</v>
      </c>
      <c r="I14">
        <f>[21]Sheet1!$M$13</f>
        <v>33033.29</v>
      </c>
      <c r="J14" s="1">
        <f>0</f>
        <v>0</v>
      </c>
      <c r="L14" s="855" t="s">
        <v>1550</v>
      </c>
      <c r="M14" s="1058">
        <f>E29</f>
        <v>468909.57</v>
      </c>
      <c r="N14" s="1">
        <f>0</f>
        <v>0</v>
      </c>
    </row>
    <row r="15" spans="1:14">
      <c r="A15" s="76">
        <f t="shared" ref="A15:A31" si="0">A14+1</f>
        <v>2</v>
      </c>
      <c r="B15" s="404" t="s">
        <v>954</v>
      </c>
      <c r="D15" s="200">
        <f>[22]F.6!$D$15</f>
        <v>37496</v>
      </c>
      <c r="E15" s="197"/>
      <c r="F15" s="193"/>
      <c r="H15" s="855" t="s">
        <v>1538</v>
      </c>
      <c r="I15">
        <f>I14-J15</f>
        <v>30280.515833333335</v>
      </c>
      <c r="J15" s="1">
        <f t="shared" ref="J15:J26" si="1">$I$14/12</f>
        <v>2752.7741666666666</v>
      </c>
      <c r="L15" s="855" t="s">
        <v>1538</v>
      </c>
      <c r="M15" s="1058">
        <f>M14-N15</f>
        <v>449371.67125000001</v>
      </c>
      <c r="N15" s="1">
        <f t="shared" ref="N15:N26" si="2">$M$14/24</f>
        <v>19537.89875</v>
      </c>
    </row>
    <row r="16" spans="1:14">
      <c r="A16" s="871">
        <f t="shared" si="0"/>
        <v>3</v>
      </c>
      <c r="B16" s="1187" t="s">
        <v>955</v>
      </c>
      <c r="D16" s="198">
        <f>[22]F.6!$D$16</f>
        <v>36425.32</v>
      </c>
      <c r="E16" s="197"/>
      <c r="F16" s="193"/>
      <c r="G16" s="119"/>
      <c r="H16" s="855" t="s">
        <v>1539</v>
      </c>
      <c r="I16" s="1058">
        <f t="shared" ref="I16:I26" si="3">I15-J15</f>
        <v>27527.741666666669</v>
      </c>
      <c r="J16" s="1">
        <f t="shared" si="1"/>
        <v>2752.7741666666666</v>
      </c>
      <c r="L16" s="855" t="s">
        <v>1539</v>
      </c>
      <c r="M16" s="1058">
        <f t="shared" ref="M16:M25" si="4">M15-N15</f>
        <v>429833.77250000002</v>
      </c>
      <c r="N16" s="1">
        <f t="shared" si="2"/>
        <v>19537.89875</v>
      </c>
    </row>
    <row r="17" spans="1:14">
      <c r="A17" s="871">
        <f t="shared" si="0"/>
        <v>4</v>
      </c>
      <c r="B17" s="404" t="s">
        <v>1292</v>
      </c>
      <c r="D17" s="201">
        <f>[22]F.6!$D$17</f>
        <v>55199.759999999995</v>
      </c>
      <c r="E17" s="197"/>
      <c r="F17" s="192"/>
      <c r="H17" s="855" t="s">
        <v>1540</v>
      </c>
      <c r="I17" s="1058">
        <f t="shared" si="3"/>
        <v>24774.967500000002</v>
      </c>
      <c r="J17" s="1">
        <f t="shared" si="1"/>
        <v>2752.7741666666666</v>
      </c>
      <c r="L17" s="855" t="s">
        <v>1540</v>
      </c>
      <c r="M17" s="1058">
        <f t="shared" si="4"/>
        <v>410295.87375000003</v>
      </c>
      <c r="N17" s="1">
        <f t="shared" si="2"/>
        <v>19537.89875</v>
      </c>
    </row>
    <row r="18" spans="1:14">
      <c r="A18" s="871">
        <f t="shared" si="0"/>
        <v>5</v>
      </c>
      <c r="B18" s="204" t="s">
        <v>414</v>
      </c>
      <c r="D18" s="197"/>
      <c r="E18" s="200">
        <f>SUM(D15:D17)</f>
        <v>129121.08</v>
      </c>
      <c r="G18" s="193"/>
      <c r="H18" s="855" t="s">
        <v>1542</v>
      </c>
      <c r="I18" s="1058">
        <f t="shared" si="3"/>
        <v>22022.193333333336</v>
      </c>
      <c r="J18" s="1">
        <f t="shared" si="1"/>
        <v>2752.7741666666666</v>
      </c>
      <c r="L18" s="855" t="s">
        <v>1542</v>
      </c>
      <c r="M18" s="1058">
        <f t="shared" si="4"/>
        <v>390757.97500000003</v>
      </c>
      <c r="N18" s="1">
        <f t="shared" si="2"/>
        <v>19537.89875</v>
      </c>
    </row>
    <row r="19" spans="1:14">
      <c r="A19" s="871">
        <f t="shared" si="0"/>
        <v>6</v>
      </c>
      <c r="B19" s="204"/>
      <c r="D19" s="197"/>
      <c r="E19" s="197"/>
      <c r="H19" s="855" t="s">
        <v>1541</v>
      </c>
      <c r="I19" s="1058">
        <f t="shared" si="3"/>
        <v>19269.41916666667</v>
      </c>
      <c r="J19" s="1">
        <f t="shared" si="1"/>
        <v>2752.7741666666666</v>
      </c>
      <c r="L19" s="855" t="s">
        <v>1541</v>
      </c>
      <c r="M19" s="1058">
        <f t="shared" si="4"/>
        <v>371220.07625000004</v>
      </c>
      <c r="N19" s="1">
        <f t="shared" si="2"/>
        <v>19537.89875</v>
      </c>
    </row>
    <row r="20" spans="1:14" ht="15.75">
      <c r="A20" s="871">
        <f t="shared" si="0"/>
        <v>7</v>
      </c>
      <c r="B20" s="203" t="s">
        <v>415</v>
      </c>
      <c r="D20" s="197"/>
      <c r="G20" s="192"/>
      <c r="H20" s="855" t="s">
        <v>1543</v>
      </c>
      <c r="I20" s="1058">
        <f t="shared" si="3"/>
        <v>16516.645000000004</v>
      </c>
      <c r="J20" s="1">
        <f t="shared" si="1"/>
        <v>2752.7741666666666</v>
      </c>
      <c r="L20" s="855" t="s">
        <v>1543</v>
      </c>
      <c r="M20" s="1058">
        <f t="shared" si="4"/>
        <v>351682.17750000005</v>
      </c>
      <c r="N20" s="1">
        <f t="shared" si="2"/>
        <v>19537.89875</v>
      </c>
    </row>
    <row r="21" spans="1:14">
      <c r="A21" s="871">
        <f t="shared" si="0"/>
        <v>8</v>
      </c>
      <c r="B21" s="204" t="s">
        <v>416</v>
      </c>
      <c r="D21" s="197"/>
      <c r="E21" s="197">
        <f>[22]F.6!$E$21</f>
        <v>246897.26</v>
      </c>
      <c r="G21" s="192"/>
      <c r="H21" s="1081" t="s">
        <v>1544</v>
      </c>
      <c r="I21" s="1058">
        <f t="shared" si="3"/>
        <v>13763.870833333338</v>
      </c>
      <c r="J21" s="1">
        <f t="shared" si="1"/>
        <v>2752.7741666666666</v>
      </c>
      <c r="L21" s="1081" t="s">
        <v>1544</v>
      </c>
      <c r="M21" s="1058">
        <f t="shared" si="4"/>
        <v>332144.27875000006</v>
      </c>
      <c r="N21" s="1">
        <f t="shared" si="2"/>
        <v>19537.89875</v>
      </c>
    </row>
    <row r="22" spans="1:14">
      <c r="A22" s="871">
        <f t="shared" si="0"/>
        <v>9</v>
      </c>
      <c r="B22" s="204" t="s">
        <v>332</v>
      </c>
      <c r="D22" s="197"/>
      <c r="E22" s="197"/>
      <c r="G22" s="192"/>
      <c r="H22" s="855" t="s">
        <v>1545</v>
      </c>
      <c r="I22" s="1058">
        <f t="shared" si="3"/>
        <v>11011.096666666672</v>
      </c>
      <c r="J22" s="1">
        <f t="shared" si="1"/>
        <v>2752.7741666666666</v>
      </c>
      <c r="L22" s="855" t="s">
        <v>1545</v>
      </c>
      <c r="M22" s="1058">
        <f t="shared" si="4"/>
        <v>312606.38000000006</v>
      </c>
      <c r="N22" s="1">
        <f t="shared" si="2"/>
        <v>19537.89875</v>
      </c>
    </row>
    <row r="23" spans="1:14" ht="15.75">
      <c r="A23" s="871">
        <f t="shared" si="0"/>
        <v>10</v>
      </c>
      <c r="B23" s="203" t="s">
        <v>417</v>
      </c>
      <c r="D23" s="197"/>
      <c r="E23" s="197"/>
      <c r="G23" s="192"/>
      <c r="H23" s="855" t="s">
        <v>1546</v>
      </c>
      <c r="I23" s="1058">
        <f t="shared" si="3"/>
        <v>8258.3225000000057</v>
      </c>
      <c r="J23" s="1">
        <f t="shared" si="1"/>
        <v>2752.7741666666666</v>
      </c>
      <c r="L23" s="855" t="s">
        <v>1546</v>
      </c>
      <c r="M23" s="1058">
        <f t="shared" si="4"/>
        <v>293068.48125000007</v>
      </c>
      <c r="N23" s="1">
        <f t="shared" si="2"/>
        <v>19537.89875</v>
      </c>
    </row>
    <row r="24" spans="1:14">
      <c r="A24" s="871">
        <f t="shared" si="0"/>
        <v>11</v>
      </c>
      <c r="B24" s="204" t="s">
        <v>419</v>
      </c>
      <c r="D24" s="197"/>
      <c r="E24" s="198">
        <f>[22]F.6!$E$24</f>
        <v>29565.110000000004</v>
      </c>
      <c r="G24" s="195"/>
      <c r="H24" s="855" t="s">
        <v>1547</v>
      </c>
      <c r="I24" s="1058">
        <f t="shared" si="3"/>
        <v>5505.5483333333395</v>
      </c>
      <c r="J24" s="1">
        <f t="shared" si="1"/>
        <v>2752.7741666666666</v>
      </c>
      <c r="L24" s="855" t="s">
        <v>1547</v>
      </c>
      <c r="M24" s="1058">
        <f t="shared" si="4"/>
        <v>273530.58250000008</v>
      </c>
      <c r="N24" s="1">
        <f t="shared" si="2"/>
        <v>19537.89875</v>
      </c>
    </row>
    <row r="25" spans="1:14">
      <c r="A25" s="871">
        <f t="shared" si="0"/>
        <v>12</v>
      </c>
      <c r="B25" s="204"/>
      <c r="D25" s="197"/>
      <c r="E25" s="197"/>
      <c r="H25" s="855" t="s">
        <v>1548</v>
      </c>
      <c r="I25" s="1058">
        <f t="shared" si="3"/>
        <v>2752.774166666673</v>
      </c>
      <c r="J25" s="1">
        <f t="shared" si="1"/>
        <v>2752.7741666666666</v>
      </c>
      <c r="L25" s="855" t="s">
        <v>1548</v>
      </c>
      <c r="M25" s="1058">
        <f t="shared" si="4"/>
        <v>253992.68375000008</v>
      </c>
      <c r="N25" s="1">
        <f t="shared" si="2"/>
        <v>19537.89875</v>
      </c>
    </row>
    <row r="26" spans="1:14" ht="15.75">
      <c r="A26" s="871">
        <f t="shared" si="0"/>
        <v>13</v>
      </c>
      <c r="B26" s="203" t="s">
        <v>420</v>
      </c>
      <c r="D26" s="197"/>
      <c r="E26" s="197"/>
      <c r="H26" s="855" t="s">
        <v>1549</v>
      </c>
      <c r="I26" s="1082">
        <f t="shared" si="3"/>
        <v>6.3664629124104977E-12</v>
      </c>
      <c r="J26" s="1084">
        <f t="shared" si="1"/>
        <v>2752.7741666666666</v>
      </c>
      <c r="L26" s="855" t="s">
        <v>1549</v>
      </c>
      <c r="M26" s="1082">
        <f>M25-N25</f>
        <v>234454.78500000009</v>
      </c>
      <c r="N26" s="1084">
        <f t="shared" si="2"/>
        <v>19537.89875</v>
      </c>
    </row>
    <row r="27" spans="1:14">
      <c r="A27" s="871">
        <f t="shared" si="0"/>
        <v>14</v>
      </c>
      <c r="B27" s="204" t="s">
        <v>421</v>
      </c>
      <c r="D27" s="197"/>
      <c r="E27" s="201">
        <f>[22]F.6!$E$27</f>
        <v>63326.12000000001</v>
      </c>
      <c r="G27" s="194"/>
      <c r="I27" s="1085">
        <f>AVERAGE(I14:I26)</f>
        <v>16516.645000000004</v>
      </c>
      <c r="J27" s="1079">
        <f>SUM(J14:J26)</f>
        <v>33033.29</v>
      </c>
      <c r="M27" s="1085">
        <f>AVERAGE(M14:M26)</f>
        <v>351682.17749999999</v>
      </c>
      <c r="N27" s="1079">
        <f>SUM(N14:N26)</f>
        <v>234454.78499999995</v>
      </c>
    </row>
    <row r="28" spans="1:14">
      <c r="A28" s="871">
        <f t="shared" si="0"/>
        <v>15</v>
      </c>
      <c r="B28" s="204"/>
      <c r="D28" s="197"/>
      <c r="E28" s="197"/>
      <c r="I28" t="s">
        <v>1556</v>
      </c>
      <c r="J28" s="1"/>
      <c r="M28" t="s">
        <v>1556</v>
      </c>
    </row>
    <row r="29" spans="1:14" ht="16.5" thickBot="1">
      <c r="A29" s="871">
        <f t="shared" si="0"/>
        <v>16</v>
      </c>
      <c r="B29" s="203" t="s">
        <v>976</v>
      </c>
      <c r="D29" s="197"/>
      <c r="E29" s="202">
        <f>SUM(E14:E27)</f>
        <v>468909.57</v>
      </c>
      <c r="G29" s="196"/>
      <c r="J29" s="1"/>
    </row>
    <row r="30" spans="1:14" ht="15.75" thickTop="1">
      <c r="A30" s="871">
        <f t="shared" si="0"/>
        <v>17</v>
      </c>
      <c r="D30" s="197"/>
      <c r="E30" s="197"/>
      <c r="J30" s="1"/>
    </row>
    <row r="31" spans="1:14" ht="16.5" thickBot="1">
      <c r="A31" s="871">
        <f t="shared" si="0"/>
        <v>18</v>
      </c>
      <c r="B31" s="203" t="s">
        <v>1555</v>
      </c>
      <c r="D31" s="161"/>
      <c r="E31" s="1086">
        <f>E29/2</f>
        <v>234454.785</v>
      </c>
      <c r="J31" s="1"/>
    </row>
    <row r="32" spans="1:14" ht="15.75" thickTop="1">
      <c r="A32" s="199"/>
      <c r="D32" s="161"/>
      <c r="J32" s="1"/>
    </row>
    <row r="33" spans="1:10">
      <c r="A33" s="205"/>
      <c r="H33" s="1"/>
      <c r="I33" s="1"/>
      <c r="J33" s="1"/>
    </row>
    <row r="34" spans="1:10">
      <c r="A34" s="204"/>
      <c r="H34" s="1"/>
      <c r="I34" s="1"/>
      <c r="J34" s="1"/>
    </row>
    <row r="35" spans="1:10">
      <c r="B35" t="s">
        <v>533</v>
      </c>
      <c r="H35" s="1"/>
      <c r="I35" s="1"/>
      <c r="J35" s="1"/>
    </row>
    <row r="36" spans="1:10">
      <c r="B36" t="s">
        <v>1599</v>
      </c>
      <c r="H36" s="1"/>
      <c r="I36" s="1"/>
      <c r="J36" s="1"/>
    </row>
    <row r="37" spans="1:10">
      <c r="H37" s="1"/>
      <c r="I37" s="1"/>
      <c r="J37" s="1"/>
    </row>
    <row r="38" spans="1:10">
      <c r="H38" s="1"/>
      <c r="I38" s="1"/>
      <c r="J38" s="1"/>
    </row>
    <row r="39" spans="1:10">
      <c r="H39" s="1"/>
      <c r="I39" s="1"/>
      <c r="J39" s="1"/>
    </row>
    <row r="40" spans="1:10">
      <c r="B40" s="771"/>
      <c r="H40" s="1"/>
      <c r="I40" s="1"/>
      <c r="J40" s="1"/>
    </row>
    <row r="41" spans="1:10">
      <c r="H41" s="1"/>
      <c r="I41" s="1"/>
      <c r="J41" s="1"/>
    </row>
    <row r="42" spans="1:10">
      <c r="H42" s="1"/>
      <c r="I42" s="1"/>
      <c r="J42" s="1"/>
    </row>
    <row r="43" spans="1:10">
      <c r="A43" s="531"/>
      <c r="B43" s="1118"/>
      <c r="C43" s="107"/>
      <c r="D43" s="107"/>
      <c r="E43" s="107"/>
      <c r="F43" s="1"/>
      <c r="J43" s="1"/>
    </row>
    <row r="44" spans="1:10">
      <c r="A44" s="531"/>
      <c r="B44" s="1119"/>
      <c r="C44" s="107"/>
      <c r="D44" s="107"/>
      <c r="E44" s="107"/>
      <c r="F44" s="1"/>
      <c r="J44" s="1"/>
    </row>
    <row r="45" spans="1:10">
      <c r="A45" s="531"/>
      <c r="B45" s="1120"/>
      <c r="C45" s="107"/>
      <c r="D45" s="107"/>
      <c r="E45" s="106"/>
      <c r="F45" s="1"/>
      <c r="J45" s="1"/>
    </row>
    <row r="46" spans="1:10">
      <c r="A46" s="531"/>
      <c r="B46" s="1120"/>
      <c r="C46" s="107"/>
      <c r="D46" s="107"/>
      <c r="E46" s="106"/>
      <c r="F46" s="1"/>
      <c r="J46" s="1"/>
    </row>
    <row r="47" spans="1:10">
      <c r="A47" s="531"/>
      <c r="B47" s="1120"/>
      <c r="C47" s="107"/>
      <c r="D47" s="107"/>
      <c r="E47" s="106"/>
      <c r="F47" s="1"/>
      <c r="J47" s="1"/>
    </row>
    <row r="48" spans="1:10">
      <c r="A48" s="531"/>
      <c r="B48" s="1120"/>
      <c r="C48" s="107"/>
      <c r="D48" s="107"/>
      <c r="E48" s="100"/>
      <c r="F48" s="1"/>
      <c r="J48" s="1"/>
    </row>
    <row r="49" spans="1:10">
      <c r="A49" s="531"/>
      <c r="B49" s="1120"/>
      <c r="C49" s="107"/>
      <c r="D49" s="106"/>
      <c r="E49" s="100"/>
      <c r="F49" s="1"/>
      <c r="G49" s="771"/>
      <c r="J49" s="1"/>
    </row>
    <row r="50" spans="1:10">
      <c r="A50" s="531"/>
      <c r="B50" s="531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4" type="noConversion"/>
  <printOptions horizontalCentered="1"/>
  <pageMargins left="1" right="0.87" top="1" bottom="1" header="0.5" footer="0.5"/>
  <pageSetup scale="32" orientation="portrait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80" zoomScaleNormal="100" zoomScaleSheetLayoutView="80" workbookViewId="0">
      <selection activeCell="J16" sqref="J16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230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5">
      <c r="A2" s="230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5">
      <c r="A3" s="43" t="s">
        <v>1131</v>
      </c>
      <c r="B3" s="40"/>
      <c r="C3" s="40"/>
      <c r="D3" s="40"/>
      <c r="E3" s="40"/>
      <c r="F3" s="40"/>
    </row>
    <row r="4" spans="1:15">
      <c r="A4" s="43" t="s">
        <v>1451</v>
      </c>
      <c r="B4" s="40"/>
      <c r="C4" s="40"/>
      <c r="D4" s="40"/>
      <c r="E4" s="40"/>
      <c r="F4" s="40"/>
    </row>
    <row r="6" spans="1:15">
      <c r="A6" s="4" t="s">
        <v>390</v>
      </c>
      <c r="F6" s="1" t="s">
        <v>1511</v>
      </c>
    </row>
    <row r="7" spans="1:15">
      <c r="A7" s="4" t="str">
        <f>A.1!A8</f>
        <v>Type of Filing:___X____Original________Updated ________Revised</v>
      </c>
      <c r="F7" s="4" t="s">
        <v>763</v>
      </c>
    </row>
    <row r="8" spans="1:15">
      <c r="A8" s="5" t="s">
        <v>440</v>
      </c>
      <c r="B8" s="6"/>
      <c r="C8" s="6"/>
      <c r="D8" s="6"/>
      <c r="E8" s="45"/>
      <c r="F8" s="584" t="s">
        <v>1216</v>
      </c>
    </row>
    <row r="9" spans="1:15">
      <c r="F9" s="2"/>
    </row>
    <row r="10" spans="1:15">
      <c r="C10" s="2" t="s">
        <v>1206</v>
      </c>
      <c r="D10" s="2" t="s">
        <v>45</v>
      </c>
      <c r="F10" s="2" t="s">
        <v>45</v>
      </c>
      <c r="I10" s="967"/>
      <c r="J10" s="883"/>
      <c r="K10" s="883"/>
      <c r="L10" s="883"/>
      <c r="M10" s="979"/>
      <c r="N10" s="883"/>
      <c r="O10" s="883"/>
    </row>
    <row r="11" spans="1:15">
      <c r="A11" s="2" t="s">
        <v>98</v>
      </c>
      <c r="C11" s="2" t="s">
        <v>63</v>
      </c>
      <c r="D11" s="46" t="s">
        <v>553</v>
      </c>
      <c r="F11" s="2" t="s">
        <v>553</v>
      </c>
      <c r="I11" s="883"/>
      <c r="J11" s="883"/>
      <c r="K11" s="883"/>
      <c r="L11" s="883"/>
      <c r="M11" s="883"/>
      <c r="N11" s="883"/>
      <c r="O11" s="883"/>
    </row>
    <row r="12" spans="1:15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I12" s="967"/>
      <c r="J12" s="883"/>
      <c r="K12" s="883"/>
      <c r="L12" s="883"/>
      <c r="M12" s="883"/>
      <c r="N12" s="883"/>
      <c r="O12" s="883"/>
    </row>
    <row r="13" spans="1:15">
      <c r="D13" s="2"/>
      <c r="F13" s="2"/>
      <c r="I13" s="967"/>
      <c r="J13" s="883"/>
      <c r="K13" s="883"/>
      <c r="L13" s="883"/>
      <c r="M13" s="883"/>
      <c r="N13" s="883"/>
      <c r="O13" s="883"/>
    </row>
    <row r="14" spans="1:15">
      <c r="I14" s="967"/>
      <c r="J14" s="883"/>
      <c r="K14" s="883"/>
      <c r="L14" s="883"/>
      <c r="M14" s="883"/>
      <c r="N14" s="883"/>
      <c r="O14" s="883"/>
    </row>
    <row r="15" spans="1:15">
      <c r="A15" s="2">
        <v>1</v>
      </c>
      <c r="B15" s="4" t="s">
        <v>172</v>
      </c>
      <c r="C15" s="2" t="s">
        <v>703</v>
      </c>
      <c r="D15" s="386">
        <f>'B.2 B'!I230</f>
        <v>516683026.74570662</v>
      </c>
      <c r="E15" s="99"/>
      <c r="F15" s="386">
        <f>'B.2 B'!N230</f>
        <v>489110378.92843777</v>
      </c>
      <c r="G15" s="107"/>
      <c r="H15" s="107"/>
      <c r="I15" s="967"/>
      <c r="J15" s="883"/>
      <c r="K15" s="883"/>
      <c r="L15" s="883"/>
      <c r="M15" s="883"/>
      <c r="N15" s="883"/>
      <c r="O15" s="883"/>
    </row>
    <row r="16" spans="1:15">
      <c r="A16" s="2">
        <f>A15+1</f>
        <v>2</v>
      </c>
      <c r="B16" s="4" t="s">
        <v>506</v>
      </c>
      <c r="C16" s="2" t="s">
        <v>703</v>
      </c>
      <c r="D16" s="458">
        <f>'B.2 B'!I232</f>
        <v>14905451.46043239</v>
      </c>
      <c r="E16" s="99"/>
      <c r="F16" s="99">
        <f>'B.2 B'!N232</f>
        <v>14481743.506047383</v>
      </c>
      <c r="G16" s="107"/>
      <c r="H16" s="107"/>
      <c r="I16" s="967"/>
      <c r="J16" s="883"/>
      <c r="K16" s="883"/>
      <c r="L16" s="883"/>
      <c r="M16" s="883"/>
      <c r="N16" s="883"/>
      <c r="O16" s="883"/>
    </row>
    <row r="17" spans="1:15">
      <c r="A17" s="2">
        <f>A16+1</f>
        <v>3</v>
      </c>
      <c r="B17" s="4" t="s">
        <v>544</v>
      </c>
      <c r="C17" s="2" t="s">
        <v>704</v>
      </c>
      <c r="D17" s="112">
        <f>-'B.3 B'!I230</f>
        <v>-172025700.90940386</v>
      </c>
      <c r="E17" s="99"/>
      <c r="F17" s="112">
        <f>-'B.3 B'!N230</f>
        <v>-168658168.73709506</v>
      </c>
      <c r="G17" s="107"/>
      <c r="H17" s="107"/>
      <c r="I17" s="967"/>
      <c r="J17" s="883"/>
      <c r="K17" s="883"/>
      <c r="L17" s="883"/>
      <c r="M17" s="883"/>
      <c r="N17" s="883"/>
      <c r="O17" s="883"/>
    </row>
    <row r="18" spans="1:15">
      <c r="A18" s="963"/>
      <c r="B18" s="4"/>
      <c r="C18" s="963"/>
      <c r="D18" s="103"/>
      <c r="E18" s="99"/>
      <c r="F18" s="103"/>
      <c r="G18" s="107"/>
      <c r="H18" s="107"/>
      <c r="I18" s="967"/>
      <c r="J18" s="883"/>
      <c r="K18" s="883"/>
      <c r="L18" s="883"/>
      <c r="M18" s="883"/>
      <c r="N18" s="883"/>
      <c r="O18" s="883"/>
    </row>
    <row r="19" spans="1:15">
      <c r="A19" s="2">
        <f>+A17+1</f>
        <v>4</v>
      </c>
      <c r="B19" s="4" t="s">
        <v>161</v>
      </c>
      <c r="D19" s="386">
        <f>SUM(D15:D17)</f>
        <v>359562777.29673517</v>
      </c>
      <c r="E19" s="99"/>
      <c r="F19" s="386">
        <f>SUM(F15:F17)</f>
        <v>334933953.69739008</v>
      </c>
      <c r="G19" s="107"/>
      <c r="H19" s="107"/>
      <c r="I19" s="967"/>
      <c r="J19" s="883"/>
      <c r="K19" s="883"/>
      <c r="L19" s="883"/>
      <c r="M19" s="883"/>
      <c r="N19" s="883"/>
      <c r="O19" s="883"/>
    </row>
    <row r="20" spans="1:15">
      <c r="A20" s="2"/>
      <c r="B20" s="4"/>
      <c r="D20" s="99"/>
      <c r="E20" s="99"/>
      <c r="F20" s="99"/>
      <c r="G20" s="107"/>
      <c r="H20" s="107"/>
      <c r="I20" s="967"/>
      <c r="J20" s="883"/>
      <c r="K20" s="883"/>
      <c r="L20" s="883"/>
      <c r="M20" s="883"/>
      <c r="N20" s="883"/>
      <c r="O20" s="883"/>
    </row>
    <row r="21" spans="1:15">
      <c r="A21" s="2">
        <f>A19+1</f>
        <v>5</v>
      </c>
      <c r="B21" s="4" t="s">
        <v>803</v>
      </c>
      <c r="C21" s="2" t="s">
        <v>705</v>
      </c>
      <c r="D21" s="386">
        <f>+'B.4 B'!E14</f>
        <v>3330930.5846503121</v>
      </c>
      <c r="E21" s="99"/>
      <c r="F21" s="386">
        <f>+D21</f>
        <v>3330930.5846503121</v>
      </c>
      <c r="G21" s="890"/>
      <c r="H21" s="890"/>
      <c r="I21" s="967"/>
      <c r="J21" s="883"/>
      <c r="K21" s="883"/>
      <c r="L21" s="883"/>
      <c r="M21" s="883"/>
      <c r="N21" s="883"/>
      <c r="O21" s="883"/>
    </row>
    <row r="22" spans="1:15">
      <c r="A22" s="2">
        <f>+A21+1</f>
        <v>6</v>
      </c>
      <c r="B22" s="4" t="s">
        <v>1078</v>
      </c>
      <c r="C22" s="2" t="s">
        <v>706</v>
      </c>
      <c r="D22" s="458">
        <f>+'B.4.1 B'!F37</f>
        <v>1262989.7059746538</v>
      </c>
      <c r="E22" s="99"/>
      <c r="F22" s="458">
        <f>+'B.4.1 B'!K37</f>
        <v>9751925.2921418622</v>
      </c>
      <c r="G22" s="107"/>
      <c r="H22" s="107"/>
      <c r="I22" s="967"/>
      <c r="J22" s="883"/>
      <c r="K22" s="883"/>
      <c r="L22" s="883"/>
      <c r="M22" s="883"/>
      <c r="N22" s="883"/>
      <c r="O22" s="883"/>
    </row>
    <row r="23" spans="1:15">
      <c r="A23" s="2">
        <f>+A22+1</f>
        <v>7</v>
      </c>
      <c r="B23" s="4" t="s">
        <v>649</v>
      </c>
      <c r="C23" s="2" t="s">
        <v>707</v>
      </c>
      <c r="D23" s="99">
        <f>'B.6 B'!G24</f>
        <v>-1767642.4683333335</v>
      </c>
      <c r="E23" s="107"/>
      <c r="F23" s="99">
        <f>'B.6 B'!L24</f>
        <v>-1767922.9961538462</v>
      </c>
      <c r="G23" s="107"/>
      <c r="H23" s="107"/>
      <c r="I23" s="967"/>
      <c r="J23" s="883"/>
      <c r="K23" s="883"/>
      <c r="L23" s="883"/>
      <c r="M23" s="883"/>
      <c r="N23" s="883"/>
      <c r="O23" s="883"/>
    </row>
    <row r="24" spans="1:15">
      <c r="A24" s="1080">
        <f t="shared" ref="A24:A25" si="0">+A23+1</f>
        <v>8</v>
      </c>
      <c r="B24" s="4" t="s">
        <v>1558</v>
      </c>
      <c r="C24" s="1080" t="s">
        <v>1557</v>
      </c>
      <c r="D24" s="99">
        <f>F.6!I14</f>
        <v>33033.29</v>
      </c>
      <c r="E24" s="107"/>
      <c r="F24" s="99">
        <f>F.6!I14</f>
        <v>33033.29</v>
      </c>
      <c r="G24" s="107"/>
      <c r="H24" s="107"/>
      <c r="I24" s="967"/>
      <c r="J24" s="883"/>
      <c r="K24" s="883"/>
      <c r="L24" s="883"/>
      <c r="M24" s="883"/>
      <c r="N24" s="883"/>
      <c r="O24" s="883"/>
    </row>
    <row r="25" spans="1:15">
      <c r="A25" s="1080">
        <f t="shared" si="0"/>
        <v>9</v>
      </c>
      <c r="B25" s="115" t="s">
        <v>1153</v>
      </c>
      <c r="C25" s="160" t="s">
        <v>708</v>
      </c>
      <c r="D25" s="109">
        <f>'B.5 B'!G49</f>
        <v>-57568109.283512101</v>
      </c>
      <c r="E25" s="107"/>
      <c r="F25" s="109">
        <f>'B.5 B'!L49</f>
        <v>-50312892.103584066</v>
      </c>
      <c r="G25" s="107"/>
      <c r="H25" s="107"/>
      <c r="I25" s="967"/>
      <c r="J25" s="883"/>
      <c r="K25" s="883"/>
      <c r="L25" s="883"/>
      <c r="M25" s="883"/>
      <c r="N25" s="883"/>
      <c r="O25" s="883"/>
    </row>
    <row r="26" spans="1:15">
      <c r="A26" s="1080"/>
      <c r="E26" s="107"/>
      <c r="G26" s="107"/>
      <c r="H26" s="107"/>
      <c r="I26" s="967"/>
      <c r="J26" s="883"/>
      <c r="K26" s="883"/>
      <c r="L26" s="883"/>
      <c r="M26" s="883"/>
      <c r="N26" s="883"/>
      <c r="O26" s="883"/>
    </row>
    <row r="27" spans="1:15" ht="15.75" thickBot="1">
      <c r="A27" s="1080">
        <f>+A25+1</f>
        <v>10</v>
      </c>
      <c r="B27" s="4" t="s">
        <v>162</v>
      </c>
      <c r="D27" s="388">
        <f>SUM(D19:D25)</f>
        <v>304853979.12551475</v>
      </c>
      <c r="E27" s="10"/>
      <c r="F27" s="388">
        <f>SUM(F19:F25)</f>
        <v>295969027.76444441</v>
      </c>
      <c r="G27" s="107"/>
      <c r="H27" s="107"/>
      <c r="I27" s="967"/>
      <c r="J27" s="883"/>
      <c r="K27" s="883"/>
      <c r="L27" s="883"/>
      <c r="M27" s="883"/>
      <c r="N27" s="883"/>
      <c r="O27" s="883"/>
    </row>
    <row r="28" spans="1:15" ht="15.75" thickTop="1">
      <c r="A28" s="2"/>
      <c r="D28" s="10"/>
      <c r="E28" s="10"/>
      <c r="F28" s="10"/>
      <c r="G28" s="107"/>
      <c r="H28" s="107"/>
    </row>
    <row r="29" spans="1:15">
      <c r="D29" s="107"/>
      <c r="E29" s="107"/>
      <c r="F29" s="107"/>
      <c r="G29" s="107"/>
      <c r="H29" s="107"/>
    </row>
    <row r="30" spans="1:15">
      <c r="D30" s="99"/>
      <c r="E30" s="107"/>
      <c r="F30" s="99"/>
      <c r="G30" s="107"/>
      <c r="H30" s="107"/>
    </row>
    <row r="31" spans="1:15">
      <c r="D31" s="99"/>
      <c r="E31" s="99"/>
      <c r="F31" s="99"/>
      <c r="G31" s="107"/>
      <c r="H31" s="107"/>
    </row>
  </sheetData>
  <phoneticPr fontId="24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N56"/>
  <sheetViews>
    <sheetView view="pageBreakPreview" zoomScale="60" zoomScaleNormal="90" workbookViewId="0">
      <pane ySplit="13" topLeftCell="A14" activePane="bottomLeft" state="frozen"/>
      <selection activeCell="K21" sqref="K21"/>
      <selection pane="bottomLeft" activeCell="K21" sqref="K21"/>
    </sheetView>
  </sheetViews>
  <sheetFormatPr defaultRowHeight="15"/>
  <cols>
    <col min="1" max="1" width="5.21875" customWidth="1"/>
    <col min="2" max="2" width="24.6640625" customWidth="1"/>
    <col min="3" max="3" width="9.5546875" bestFit="1" customWidth="1"/>
    <col min="4" max="4" width="11.6640625" customWidth="1"/>
    <col min="5" max="5" width="9.44140625" customWidth="1"/>
    <col min="6" max="6" width="4.109375" customWidth="1"/>
    <col min="7" max="7" width="11" customWidth="1"/>
    <col min="8" max="8" width="10.77734375" customWidth="1"/>
    <col min="9" max="9" width="10.109375" customWidth="1"/>
  </cols>
  <sheetData>
    <row r="1" spans="1:12" ht="15.75">
      <c r="A1" s="1264" t="str">
        <f>'Table of Contents'!A1:C1</f>
        <v>Atmos Energy Corporation, Kentucky/Mid-States Division</v>
      </c>
      <c r="B1" s="1264"/>
      <c r="C1" s="1264"/>
      <c r="D1" s="1264"/>
      <c r="E1" s="1264"/>
      <c r="F1" s="1264"/>
      <c r="G1" s="1264"/>
      <c r="H1" s="1264"/>
      <c r="I1" s="1264"/>
      <c r="J1" s="119"/>
    </row>
    <row r="2" spans="1:12" ht="15.75">
      <c r="A2" s="1264" t="str">
        <f>'Table of Contents'!A2:C2</f>
        <v>Kentucky Jurisdiction Case No. 2015-00343</v>
      </c>
      <c r="B2" s="1264"/>
      <c r="C2" s="1264"/>
      <c r="D2" s="1264"/>
      <c r="E2" s="1264"/>
      <c r="F2" s="1264"/>
      <c r="G2" s="1264"/>
      <c r="H2" s="1264"/>
      <c r="I2" s="1264"/>
      <c r="J2" s="119"/>
    </row>
    <row r="3" spans="1:12" ht="15.75">
      <c r="A3" s="1264" t="s">
        <v>41</v>
      </c>
      <c r="B3" s="1264"/>
      <c r="C3" s="1264"/>
      <c r="D3" s="1264"/>
      <c r="E3" s="1264"/>
      <c r="F3" s="1264"/>
      <c r="G3" s="1264"/>
      <c r="H3" s="1264"/>
      <c r="I3" s="1264"/>
      <c r="J3" s="119"/>
    </row>
    <row r="4" spans="1:12" ht="15.75">
      <c r="A4" s="1264" t="str">
        <f>'Table of Contents'!A3:C3</f>
        <v>Base Period: Twelve Months Ended February 29, 2016</v>
      </c>
      <c r="B4" s="1264"/>
      <c r="C4" s="1264"/>
      <c r="D4" s="1264"/>
      <c r="E4" s="1264"/>
      <c r="F4" s="1264"/>
      <c r="G4" s="1264"/>
      <c r="H4" s="1264"/>
      <c r="I4" s="1264"/>
      <c r="J4" s="119"/>
    </row>
    <row r="5" spans="1:12" ht="15.75">
      <c r="A5" s="1264" t="str">
        <f>'Table of Contents'!A4:C4</f>
        <v>Forecasted Test Period: Twelve Months Ended May 31, 2017</v>
      </c>
      <c r="B5" s="1264"/>
      <c r="C5" s="1264"/>
      <c r="D5" s="1264"/>
      <c r="E5" s="1264"/>
      <c r="F5" s="1264"/>
      <c r="G5" s="1264"/>
      <c r="H5" s="1264"/>
      <c r="I5" s="1264"/>
      <c r="J5" s="119"/>
    </row>
    <row r="6" spans="1:12" ht="15.75">
      <c r="A6" s="12"/>
      <c r="B6" s="12"/>
      <c r="C6" s="119"/>
      <c r="D6" s="119"/>
      <c r="E6" s="119"/>
      <c r="F6" s="119"/>
      <c r="G6" s="119"/>
      <c r="H6" s="119"/>
      <c r="I6" s="119"/>
      <c r="J6" s="119"/>
      <c r="L6" s="1060"/>
    </row>
    <row r="7" spans="1:12" ht="15.75">
      <c r="A7" s="12"/>
      <c r="B7" s="12"/>
      <c r="C7" s="119"/>
      <c r="D7" s="772"/>
      <c r="F7" s="119"/>
      <c r="G7" s="119"/>
      <c r="I7" s="119"/>
      <c r="J7" s="119"/>
      <c r="L7" s="1060"/>
    </row>
    <row r="8" spans="1:12">
      <c r="A8" s="95" t="s">
        <v>141</v>
      </c>
      <c r="B8" s="119"/>
      <c r="C8" s="119"/>
      <c r="D8" s="119"/>
      <c r="E8" s="119"/>
      <c r="F8" s="119"/>
      <c r="G8" s="119"/>
      <c r="I8" s="491" t="s">
        <v>1504</v>
      </c>
      <c r="J8" s="119"/>
    </row>
    <row r="9" spans="1:12">
      <c r="A9" s="95" t="s">
        <v>1143</v>
      </c>
      <c r="B9" s="119"/>
      <c r="C9" s="119"/>
      <c r="D9" s="119"/>
      <c r="E9" s="119"/>
      <c r="F9" s="119"/>
      <c r="G9" s="119"/>
      <c r="I9" s="736" t="s">
        <v>589</v>
      </c>
      <c r="J9" s="119"/>
    </row>
    <row r="10" spans="1:12">
      <c r="A10" s="95" t="s">
        <v>440</v>
      </c>
      <c r="B10" s="119"/>
      <c r="C10" s="119"/>
      <c r="D10" s="119"/>
      <c r="E10" s="119"/>
      <c r="F10" s="119"/>
      <c r="G10" s="119"/>
      <c r="H10" s="81"/>
      <c r="I10" s="737" t="str">
        <f>F.1!$F$9</f>
        <v>Witness: Waller</v>
      </c>
      <c r="J10" s="119"/>
    </row>
    <row r="11" spans="1:12" ht="15.75">
      <c r="A11" s="162"/>
      <c r="B11" s="162"/>
      <c r="C11" s="741"/>
      <c r="D11" s="742" t="s">
        <v>333</v>
      </c>
      <c r="E11" s="743"/>
      <c r="F11" s="162"/>
      <c r="G11" s="741"/>
      <c r="H11" s="742" t="s">
        <v>334</v>
      </c>
      <c r="I11" s="743"/>
      <c r="J11" s="119"/>
      <c r="L11" s="797"/>
    </row>
    <row r="12" spans="1:12">
      <c r="A12" s="127" t="s">
        <v>98</v>
      </c>
      <c r="B12" s="127" t="s">
        <v>587</v>
      </c>
      <c r="C12" s="127" t="s">
        <v>101</v>
      </c>
      <c r="D12" s="76" t="s">
        <v>11</v>
      </c>
      <c r="E12" s="126" t="s">
        <v>12</v>
      </c>
      <c r="F12" s="126"/>
      <c r="G12" s="127" t="s">
        <v>101</v>
      </c>
      <c r="H12" s="126" t="str">
        <f>D12</f>
        <v xml:space="preserve">Kentucky </v>
      </c>
      <c r="I12" s="126" t="s">
        <v>1000</v>
      </c>
      <c r="J12" s="119"/>
    </row>
    <row r="13" spans="1:12">
      <c r="A13" s="128" t="s">
        <v>104</v>
      </c>
      <c r="B13" s="128" t="s">
        <v>1101</v>
      </c>
      <c r="C13" s="128" t="s">
        <v>609</v>
      </c>
      <c r="D13" s="84" t="s">
        <v>102</v>
      </c>
      <c r="E13" s="128" t="s">
        <v>109</v>
      </c>
      <c r="F13" s="128"/>
      <c r="G13" s="128" t="s">
        <v>609</v>
      </c>
      <c r="H13" s="128" t="str">
        <f>D13</f>
        <v>Jurisdictional</v>
      </c>
      <c r="I13" s="128" t="s">
        <v>109</v>
      </c>
      <c r="J13" s="119"/>
      <c r="L13" s="1060"/>
    </row>
    <row r="14" spans="1:12">
      <c r="A14" s="119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2" ht="15.75">
      <c r="A15" s="117">
        <v>1</v>
      </c>
      <c r="B15" s="568" t="s">
        <v>198</v>
      </c>
      <c r="C15" s="492"/>
      <c r="D15" s="100"/>
      <c r="E15" s="496"/>
      <c r="F15" s="100"/>
      <c r="G15" s="492"/>
      <c r="H15" s="100"/>
      <c r="I15" s="496"/>
      <c r="J15" s="366"/>
    </row>
    <row r="16" spans="1:12">
      <c r="A16" s="117">
        <v>2</v>
      </c>
      <c r="B16" s="500" t="s">
        <v>590</v>
      </c>
      <c r="C16" s="427">
        <v>0</v>
      </c>
      <c r="D16" s="570">
        <v>1</v>
      </c>
      <c r="E16" s="427">
        <f>C16*D16</f>
        <v>0</v>
      </c>
      <c r="F16" s="100"/>
      <c r="G16" s="427">
        <v>0</v>
      </c>
      <c r="H16" s="570">
        <f>D16</f>
        <v>1</v>
      </c>
      <c r="I16" s="427">
        <f>G16*H16</f>
        <v>0</v>
      </c>
      <c r="J16" s="366"/>
    </row>
    <row r="17" spans="1:14">
      <c r="A17" s="117">
        <v>3</v>
      </c>
      <c r="B17" s="565" t="s">
        <v>591</v>
      </c>
      <c r="C17" s="492">
        <v>0</v>
      </c>
      <c r="D17" s="570">
        <f>$D$16</f>
        <v>1</v>
      </c>
      <c r="E17" s="492">
        <f>C17*D17</f>
        <v>0</v>
      </c>
      <c r="F17" s="100"/>
      <c r="G17" s="492">
        <v>0</v>
      </c>
      <c r="H17" s="570">
        <f>D17</f>
        <v>1</v>
      </c>
      <c r="I17" s="492">
        <f>G17*H17</f>
        <v>0</v>
      </c>
      <c r="J17" s="539"/>
      <c r="K17" s="106"/>
      <c r="L17" s="106"/>
      <c r="N17" s="106"/>
    </row>
    <row r="18" spans="1:14">
      <c r="A18" s="117">
        <v>4</v>
      </c>
      <c r="B18" s="565" t="s">
        <v>679</v>
      </c>
      <c r="C18" s="496">
        <f>'[20]acct 4264'!$Q$98</f>
        <v>49382.03</v>
      </c>
      <c r="D18" s="570">
        <f>$D$16</f>
        <v>1</v>
      </c>
      <c r="E18" s="496">
        <f>C18*D18</f>
        <v>49382.03</v>
      </c>
      <c r="F18" s="100"/>
      <c r="G18" s="496">
        <f>C18</f>
        <v>49382.03</v>
      </c>
      <c r="H18" s="570">
        <f>D18</f>
        <v>1</v>
      </c>
      <c r="I18" s="496">
        <f>G18*H18</f>
        <v>49382.03</v>
      </c>
      <c r="J18" s="534"/>
      <c r="K18" s="106"/>
      <c r="L18" s="106"/>
      <c r="M18" s="106"/>
      <c r="N18" s="106"/>
    </row>
    <row r="19" spans="1:14">
      <c r="A19" s="117">
        <v>5</v>
      </c>
      <c r="B19" s="565" t="s">
        <v>600</v>
      </c>
      <c r="C19" s="567">
        <v>0</v>
      </c>
      <c r="D19" s="570">
        <f>$D$16</f>
        <v>1</v>
      </c>
      <c r="E19" s="567">
        <f>C19*D19</f>
        <v>0</v>
      </c>
      <c r="F19" s="100"/>
      <c r="G19" s="567">
        <v>0</v>
      </c>
      <c r="H19" s="570">
        <f>D19</f>
        <v>1</v>
      </c>
      <c r="I19" s="567">
        <f>G19*H19</f>
        <v>0</v>
      </c>
      <c r="J19" s="413"/>
      <c r="K19" s="106"/>
      <c r="L19" s="106"/>
      <c r="N19" s="106"/>
    </row>
    <row r="20" spans="1:14">
      <c r="A20" s="117">
        <v>6</v>
      </c>
      <c r="B20" s="566" t="s">
        <v>101</v>
      </c>
      <c r="C20" s="660">
        <f>SUM(C16:C19)</f>
        <v>49382.03</v>
      </c>
      <c r="D20" s="100"/>
      <c r="E20" s="660">
        <f>SUM(E16:E19)</f>
        <v>49382.03</v>
      </c>
      <c r="F20" s="100"/>
      <c r="G20" s="660">
        <f>SUM(G16:G19)</f>
        <v>49382.03</v>
      </c>
      <c r="H20" s="100"/>
      <c r="I20" s="660">
        <f>SUM(I16:I19)</f>
        <v>49382.03</v>
      </c>
      <c r="J20" s="413"/>
      <c r="K20" s="106"/>
      <c r="L20" s="106"/>
      <c r="N20" s="106"/>
    </row>
    <row r="21" spans="1:14">
      <c r="A21" s="117">
        <v>7</v>
      </c>
      <c r="B21" s="106"/>
      <c r="C21" s="492"/>
      <c r="D21" s="100"/>
      <c r="E21" s="492"/>
      <c r="F21" s="100"/>
      <c r="G21" s="492"/>
      <c r="H21" s="100"/>
      <c r="I21" s="492"/>
      <c r="J21" s="413"/>
      <c r="K21" s="106"/>
      <c r="L21" s="106"/>
      <c r="N21" s="106"/>
    </row>
    <row r="22" spans="1:14" ht="15.75">
      <c r="A22" s="117">
        <v>8</v>
      </c>
      <c r="B22" s="568" t="s">
        <v>83</v>
      </c>
      <c r="C22" s="496"/>
      <c r="D22" s="100"/>
      <c r="E22" s="496"/>
      <c r="F22" s="100"/>
      <c r="G22" s="496"/>
      <c r="H22" s="100"/>
      <c r="I22" s="496"/>
      <c r="J22" s="366"/>
      <c r="K22" s="106"/>
      <c r="L22" s="106"/>
      <c r="M22" s="106"/>
      <c r="N22" s="106"/>
    </row>
    <row r="23" spans="1:14">
      <c r="A23" s="117">
        <v>9</v>
      </c>
      <c r="B23" s="500" t="s">
        <v>590</v>
      </c>
      <c r="C23" s="427">
        <v>0</v>
      </c>
      <c r="D23" s="571">
        <f>Allocation!$I$17</f>
        <v>0.49090457251500325</v>
      </c>
      <c r="E23" s="427">
        <f>C23*D23</f>
        <v>0</v>
      </c>
      <c r="F23" s="100"/>
      <c r="G23" s="427">
        <v>0</v>
      </c>
      <c r="H23" s="571">
        <f>Allocation!$E$17</f>
        <v>0.49090457251500325</v>
      </c>
      <c r="I23" s="427">
        <f>G23*H23</f>
        <v>0</v>
      </c>
      <c r="J23" s="366"/>
      <c r="K23" s="106"/>
      <c r="L23" s="106"/>
      <c r="N23" s="106"/>
    </row>
    <row r="24" spans="1:14">
      <c r="A24" s="117">
        <v>10</v>
      </c>
      <c r="B24" s="565" t="s">
        <v>591</v>
      </c>
      <c r="C24" s="492">
        <v>0</v>
      </c>
      <c r="D24" s="571">
        <f>$D$23</f>
        <v>0.49090457251500325</v>
      </c>
      <c r="E24" s="492">
        <f>C24*D24</f>
        <v>0</v>
      </c>
      <c r="F24" s="100"/>
      <c r="G24" s="492">
        <v>0</v>
      </c>
      <c r="H24" s="571">
        <f>H23</f>
        <v>0.49090457251500325</v>
      </c>
      <c r="I24" s="492">
        <f>G24*H24</f>
        <v>0</v>
      </c>
      <c r="J24" s="539"/>
      <c r="K24" s="106"/>
      <c r="L24" s="106"/>
      <c r="M24" s="106"/>
      <c r="N24" s="106"/>
    </row>
    <row r="25" spans="1:14">
      <c r="A25" s="117">
        <v>11</v>
      </c>
      <c r="B25" s="565" t="s">
        <v>679</v>
      </c>
      <c r="C25" s="496">
        <f>'[20]acct 4264'!$Q$99</f>
        <v>-4245.2990000000009</v>
      </c>
      <c r="D25" s="571">
        <f>$D$23</f>
        <v>0.49090457251500325</v>
      </c>
      <c r="E25" s="496">
        <f>C25*D25</f>
        <v>-2084.0366907933712</v>
      </c>
      <c r="F25" s="100"/>
      <c r="G25" s="496">
        <f>C25</f>
        <v>-4245.2990000000009</v>
      </c>
      <c r="H25" s="571">
        <f>H23</f>
        <v>0.49090457251500325</v>
      </c>
      <c r="I25" s="496">
        <f>G25*H25</f>
        <v>-2084.0366907933712</v>
      </c>
      <c r="J25" s="534"/>
    </row>
    <row r="26" spans="1:14">
      <c r="A26" s="117">
        <v>12</v>
      </c>
      <c r="B26" s="565" t="s">
        <v>600</v>
      </c>
      <c r="C26" s="567">
        <v>0</v>
      </c>
      <c r="D26" s="571">
        <f>$D$23</f>
        <v>0.49090457251500325</v>
      </c>
      <c r="E26" s="567">
        <f>C26*D26</f>
        <v>0</v>
      </c>
      <c r="F26" s="100"/>
      <c r="G26" s="567">
        <v>0</v>
      </c>
      <c r="H26" s="571">
        <f>H23</f>
        <v>0.49090457251500325</v>
      </c>
      <c r="I26" s="567">
        <f>G26*H26</f>
        <v>0</v>
      </c>
      <c r="J26" s="534"/>
    </row>
    <row r="27" spans="1:14">
      <c r="A27" s="117">
        <v>13</v>
      </c>
      <c r="B27" s="566" t="s">
        <v>101</v>
      </c>
      <c r="C27" s="660">
        <f>SUM(C23:C26)</f>
        <v>-4245.2990000000009</v>
      </c>
      <c r="D27" s="130"/>
      <c r="E27" s="660">
        <f>SUM(E23:E26)</f>
        <v>-2084.0366907933712</v>
      </c>
      <c r="F27" s="130"/>
      <c r="G27" s="660">
        <f>SUM(G23:G26)</f>
        <v>-4245.2990000000009</v>
      </c>
      <c r="H27" s="119"/>
      <c r="I27" s="660">
        <f>SUM(I23:I26)</f>
        <v>-2084.0366907933712</v>
      </c>
      <c r="J27" s="366"/>
    </row>
    <row r="28" spans="1:14">
      <c r="A28" s="117">
        <v>14</v>
      </c>
      <c r="B28" s="366"/>
      <c r="C28" s="130"/>
      <c r="D28" s="130"/>
      <c r="E28" s="130"/>
      <c r="F28" s="130"/>
      <c r="G28" s="130"/>
      <c r="H28" s="119"/>
      <c r="I28" s="130"/>
      <c r="J28" s="366"/>
    </row>
    <row r="29" spans="1:14" ht="15.75">
      <c r="A29" s="117">
        <v>15</v>
      </c>
      <c r="B29" s="568" t="s">
        <v>81</v>
      </c>
      <c r="C29" s="130"/>
      <c r="D29" s="130"/>
      <c r="E29" s="130"/>
      <c r="F29" s="130"/>
      <c r="G29" s="130"/>
      <c r="H29" s="119"/>
      <c r="I29" s="130"/>
      <c r="J29" s="539"/>
    </row>
    <row r="30" spans="1:14">
      <c r="A30" s="117">
        <v>16</v>
      </c>
      <c r="B30" s="500" t="s">
        <v>590</v>
      </c>
      <c r="C30" s="427">
        <v>0</v>
      </c>
      <c r="D30" s="421">
        <f>Allocation!$I$14</f>
        <v>5.2575879716356848E-2</v>
      </c>
      <c r="E30" s="427">
        <f>C30*D30</f>
        <v>0</v>
      </c>
      <c r="F30" s="130"/>
      <c r="G30" s="427">
        <v>0</v>
      </c>
      <c r="H30" s="422">
        <f>Allocation!$E$14</f>
        <v>5.2575879716356848E-2</v>
      </c>
      <c r="I30" s="427">
        <f>G30*H30</f>
        <v>0</v>
      </c>
      <c r="J30" s="534"/>
    </row>
    <row r="31" spans="1:14">
      <c r="A31" s="117">
        <v>17</v>
      </c>
      <c r="B31" s="565" t="s">
        <v>591</v>
      </c>
      <c r="C31" s="492">
        <v>0</v>
      </c>
      <c r="D31" s="421">
        <f>$D$30</f>
        <v>5.2575879716356848E-2</v>
      </c>
      <c r="E31" s="492">
        <f>C31*D31</f>
        <v>0</v>
      </c>
      <c r="F31" s="130"/>
      <c r="G31" s="492">
        <v>0</v>
      </c>
      <c r="H31" s="571">
        <f>D31</f>
        <v>5.2575879716356848E-2</v>
      </c>
      <c r="I31" s="492">
        <f>G31*H31</f>
        <v>0</v>
      </c>
      <c r="J31" s="534"/>
    </row>
    <row r="32" spans="1:14">
      <c r="A32" s="117">
        <v>18</v>
      </c>
      <c r="B32" s="565" t="s">
        <v>679</v>
      </c>
      <c r="C32" s="496">
        <f>'[20]acct 4264'!$Q$100</f>
        <v>521447.54670000012</v>
      </c>
      <c r="D32" s="421">
        <f>$D$30</f>
        <v>5.2575879716356848E-2</v>
      </c>
      <c r="E32" s="496">
        <f>C32*D32</f>
        <v>27415.563493688576</v>
      </c>
      <c r="F32" s="130"/>
      <c r="G32" s="496">
        <f>C32</f>
        <v>521447.54670000012</v>
      </c>
      <c r="H32" s="571">
        <f>D32</f>
        <v>5.2575879716356848E-2</v>
      </c>
      <c r="I32" s="496">
        <f>G32*H32</f>
        <v>27415.563493688576</v>
      </c>
      <c r="J32" s="366"/>
    </row>
    <row r="33" spans="1:10">
      <c r="A33" s="117">
        <v>19</v>
      </c>
      <c r="B33" s="565" t="s">
        <v>600</v>
      </c>
      <c r="C33" s="567">
        <v>0</v>
      </c>
      <c r="D33" s="421">
        <f>$D$30</f>
        <v>5.2575879716356848E-2</v>
      </c>
      <c r="E33" s="567">
        <f>C33*D33</f>
        <v>0</v>
      </c>
      <c r="F33" s="130"/>
      <c r="G33" s="567">
        <v>0</v>
      </c>
      <c r="H33" s="571">
        <f>D33</f>
        <v>5.2575879716356848E-2</v>
      </c>
      <c r="I33" s="567">
        <f>G33*H33</f>
        <v>0</v>
      </c>
      <c r="J33" s="366"/>
    </row>
    <row r="34" spans="1:10">
      <c r="A34" s="117">
        <v>20</v>
      </c>
      <c r="B34" s="566" t="s">
        <v>101</v>
      </c>
      <c r="C34" s="660">
        <f>SUM(C30:C33)</f>
        <v>521447.54670000012</v>
      </c>
      <c r="D34" s="130"/>
      <c r="E34" s="660">
        <f>SUM(E30:E33)</f>
        <v>27415.563493688576</v>
      </c>
      <c r="F34" s="130"/>
      <c r="G34" s="660">
        <f>SUM(G30:G33)</f>
        <v>521447.54670000012</v>
      </c>
      <c r="H34" s="119"/>
      <c r="I34" s="660">
        <f>SUM(I30:I33)</f>
        <v>27415.563493688576</v>
      </c>
      <c r="J34" s="539"/>
    </row>
    <row r="35" spans="1:10">
      <c r="A35" s="117">
        <v>21</v>
      </c>
      <c r="B35" s="539"/>
      <c r="C35" s="130"/>
      <c r="D35" s="130"/>
      <c r="E35" s="130"/>
      <c r="F35" s="130"/>
      <c r="G35" s="130"/>
      <c r="H35" s="119"/>
      <c r="I35" s="130"/>
      <c r="J35" s="119"/>
    </row>
    <row r="36" spans="1:10" ht="15.75">
      <c r="A36" s="117">
        <v>22</v>
      </c>
      <c r="B36" s="568" t="s">
        <v>82</v>
      </c>
      <c r="C36" s="130"/>
      <c r="D36" s="130"/>
      <c r="E36" s="130"/>
      <c r="F36" s="130"/>
      <c r="G36" s="130"/>
      <c r="H36" s="119"/>
      <c r="I36" s="130"/>
      <c r="J36" s="119"/>
    </row>
    <row r="37" spans="1:10">
      <c r="A37" s="117">
        <v>23</v>
      </c>
      <c r="B37" s="500" t="s">
        <v>590</v>
      </c>
      <c r="C37" s="427">
        <v>0</v>
      </c>
      <c r="D37" s="421">
        <f>Allocation!$I$15</f>
        <v>5.712253040952902E-2</v>
      </c>
      <c r="E37" s="427">
        <f>C37*D37</f>
        <v>0</v>
      </c>
      <c r="F37" s="130"/>
      <c r="G37" s="427">
        <v>0</v>
      </c>
      <c r="H37" s="571">
        <f>D37</f>
        <v>5.712253040952902E-2</v>
      </c>
      <c r="I37" s="427">
        <f>G37*H37</f>
        <v>0</v>
      </c>
      <c r="J37" s="119"/>
    </row>
    <row r="38" spans="1:10">
      <c r="A38" s="117">
        <v>24</v>
      </c>
      <c r="B38" s="565" t="s">
        <v>591</v>
      </c>
      <c r="C38" s="492">
        <v>0</v>
      </c>
      <c r="D38" s="421">
        <f>$D$37</f>
        <v>5.712253040952902E-2</v>
      </c>
      <c r="E38" s="492">
        <f>C38*D38</f>
        <v>0</v>
      </c>
      <c r="F38" s="106"/>
      <c r="G38" s="492">
        <v>0</v>
      </c>
      <c r="H38" s="571">
        <f>D38</f>
        <v>5.712253040952902E-2</v>
      </c>
      <c r="I38" s="492">
        <f>G38*H38</f>
        <v>0</v>
      </c>
    </row>
    <row r="39" spans="1:10">
      <c r="A39" s="117">
        <v>25</v>
      </c>
      <c r="B39" s="565" t="s">
        <v>679</v>
      </c>
      <c r="C39" s="496">
        <v>0</v>
      </c>
      <c r="D39" s="421">
        <f>$D$37</f>
        <v>5.712253040952902E-2</v>
      </c>
      <c r="E39" s="496">
        <f>C39*D39</f>
        <v>0</v>
      </c>
      <c r="F39" s="106"/>
      <c r="G39" s="496">
        <f>C39</f>
        <v>0</v>
      </c>
      <c r="H39" s="571">
        <f>D39</f>
        <v>5.712253040952902E-2</v>
      </c>
      <c r="I39" s="496">
        <f>G39*H39</f>
        <v>0</v>
      </c>
    </row>
    <row r="40" spans="1:10">
      <c r="A40" s="117">
        <v>26</v>
      </c>
      <c r="B40" s="565" t="s">
        <v>600</v>
      </c>
      <c r="C40" s="567">
        <v>0</v>
      </c>
      <c r="D40" s="421">
        <f>$D$37</f>
        <v>5.712253040952902E-2</v>
      </c>
      <c r="E40" s="567">
        <f>C40*D40</f>
        <v>0</v>
      </c>
      <c r="F40" s="106"/>
      <c r="G40" s="567">
        <v>0</v>
      </c>
      <c r="H40" s="571">
        <f>D40</f>
        <v>5.712253040952902E-2</v>
      </c>
      <c r="I40" s="567">
        <f>G40*H40</f>
        <v>0</v>
      </c>
    </row>
    <row r="41" spans="1:10">
      <c r="A41" s="117">
        <v>27</v>
      </c>
      <c r="B41" s="566" t="s">
        <v>101</v>
      </c>
      <c r="C41" s="660">
        <f>SUM(C37:C40)</f>
        <v>0</v>
      </c>
      <c r="D41" s="106"/>
      <c r="E41" s="660">
        <f>SUM(E37:E40)</f>
        <v>0</v>
      </c>
      <c r="F41" s="106"/>
      <c r="G41" s="660">
        <f>SUM(G37:G40)</f>
        <v>0</v>
      </c>
      <c r="I41" s="660">
        <f>SUM(I37:I40)</f>
        <v>0</v>
      </c>
    </row>
    <row r="42" spans="1:10">
      <c r="A42" s="117">
        <v>28</v>
      </c>
      <c r="C42" s="106"/>
      <c r="D42" s="106"/>
      <c r="E42" s="106"/>
      <c r="F42" s="106"/>
      <c r="G42" s="106"/>
    </row>
    <row r="43" spans="1:10" ht="16.5" thickBot="1">
      <c r="A43" s="117">
        <v>29</v>
      </c>
      <c r="B43" s="569" t="s">
        <v>953</v>
      </c>
      <c r="C43" s="681">
        <f>C41+C34+C27+C20</f>
        <v>566584.27770000009</v>
      </c>
      <c r="D43" s="106"/>
      <c r="E43" s="681">
        <f>E41+E34+E27+E20</f>
        <v>74713.556802895211</v>
      </c>
      <c r="F43" s="106"/>
      <c r="G43" s="681">
        <f>G41+G34+G27+G20</f>
        <v>566584.27770000009</v>
      </c>
      <c r="I43" s="420">
        <f>I41+I34+I27+I20</f>
        <v>74713.556802895211</v>
      </c>
    </row>
    <row r="44" spans="1:10" ht="15.75" thickTop="1"/>
    <row r="45" spans="1:10">
      <c r="B45" t="s">
        <v>819</v>
      </c>
    </row>
    <row r="46" spans="1:10">
      <c r="B46" s="4" t="s">
        <v>291</v>
      </c>
    </row>
    <row r="47" spans="1:10">
      <c r="B47" s="4" t="s">
        <v>400</v>
      </c>
    </row>
    <row r="48" spans="1:10">
      <c r="B48" s="1"/>
    </row>
    <row r="49" spans="2:2">
      <c r="B49" s="4" t="s">
        <v>439</v>
      </c>
    </row>
    <row r="51" spans="2:2">
      <c r="B51" s="4" t="s">
        <v>783</v>
      </c>
    </row>
    <row r="55" spans="2:2">
      <c r="B55" t="s">
        <v>533</v>
      </c>
    </row>
    <row r="56" spans="2:2">
      <c r="B56" t="s">
        <v>1598</v>
      </c>
    </row>
  </sheetData>
  <mergeCells count="5">
    <mergeCell ref="A5:I5"/>
    <mergeCell ref="A1:I1"/>
    <mergeCell ref="A2:I2"/>
    <mergeCell ref="A3:I3"/>
    <mergeCell ref="A4:I4"/>
  </mergeCells>
  <phoneticPr fontId="24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60" zoomScaleNormal="90" workbookViewId="0">
      <selection activeCell="C22" sqref="C22"/>
    </sheetView>
  </sheetViews>
  <sheetFormatPr defaultRowHeight="15"/>
  <cols>
    <col min="1" max="1" width="5.88671875" customWidth="1"/>
    <col min="2" max="2" width="32.44140625" customWidth="1"/>
    <col min="3" max="3" width="11.33203125" customWidth="1"/>
    <col min="4" max="4" width="11.109375" customWidth="1"/>
    <col min="5" max="5" width="9.6640625" customWidth="1"/>
    <col min="6" max="6" width="4.21875" customWidth="1"/>
    <col min="7" max="7" width="9.5546875" bestFit="1" customWidth="1"/>
    <col min="8" max="8" width="12" customWidth="1"/>
    <col min="9" max="9" width="10.77734375" customWidth="1"/>
  </cols>
  <sheetData>
    <row r="1" spans="1:14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  <c r="H1" s="1262"/>
      <c r="I1" s="1262"/>
    </row>
    <row r="2" spans="1:14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262"/>
      <c r="I2" s="1262"/>
      <c r="J2" s="119"/>
    </row>
    <row r="3" spans="1:14" ht="15.75">
      <c r="A3" s="1262" t="s">
        <v>900</v>
      </c>
      <c r="B3" s="1262"/>
      <c r="C3" s="1262"/>
      <c r="D3" s="1262"/>
      <c r="E3" s="1262"/>
      <c r="F3" s="1262"/>
      <c r="G3" s="1262"/>
      <c r="H3" s="1262"/>
      <c r="I3" s="1262"/>
      <c r="J3" s="119"/>
    </row>
    <row r="4" spans="1:14" ht="15.75">
      <c r="A4" s="1262"/>
      <c r="B4" s="1262"/>
      <c r="C4" s="1262"/>
      <c r="D4" s="1262"/>
      <c r="E4" s="1262"/>
      <c r="F4" s="1262"/>
      <c r="G4" s="1262"/>
      <c r="H4" s="1262"/>
      <c r="I4" s="1262"/>
      <c r="J4" s="119"/>
    </row>
    <row r="5" spans="1:14" ht="15.75">
      <c r="A5" s="1262"/>
      <c r="B5" s="1262"/>
      <c r="C5" s="1262"/>
      <c r="D5" s="1262"/>
      <c r="E5" s="1262"/>
      <c r="F5" s="1262"/>
      <c r="G5" s="1262"/>
      <c r="H5" s="1262"/>
      <c r="I5" s="1262"/>
      <c r="J5" s="119"/>
    </row>
    <row r="6" spans="1:14" ht="15.75">
      <c r="A6" s="119"/>
      <c r="B6" s="12"/>
      <c r="C6" s="12"/>
      <c r="D6" s="119"/>
      <c r="E6" s="119"/>
      <c r="F6" s="119"/>
      <c r="G6" s="119"/>
      <c r="H6" s="119"/>
      <c r="I6" s="119"/>
      <c r="J6" s="119"/>
    </row>
    <row r="7" spans="1:14" ht="15.75">
      <c r="A7" s="95" t="s">
        <v>141</v>
      </c>
      <c r="B7" s="119"/>
      <c r="C7" s="12"/>
      <c r="D7" s="119"/>
      <c r="E7" s="119"/>
      <c r="F7" s="119"/>
      <c r="G7" s="119"/>
      <c r="I7" s="491" t="s">
        <v>1504</v>
      </c>
      <c r="J7" s="119"/>
    </row>
    <row r="8" spans="1:14" ht="15.75">
      <c r="A8" s="95" t="s">
        <v>1144</v>
      </c>
      <c r="B8" s="119"/>
      <c r="C8" s="12"/>
      <c r="D8" s="119"/>
      <c r="E8" s="119"/>
      <c r="F8" s="119"/>
      <c r="G8" s="119"/>
      <c r="I8" s="736" t="s">
        <v>732</v>
      </c>
      <c r="J8" s="119"/>
    </row>
    <row r="9" spans="1:14" ht="15.75">
      <c r="A9" s="95" t="s">
        <v>375</v>
      </c>
      <c r="B9" s="119"/>
      <c r="C9" s="12"/>
      <c r="D9" s="119"/>
      <c r="E9" s="119"/>
      <c r="F9" s="119"/>
      <c r="G9" s="119"/>
      <c r="H9" s="75"/>
      <c r="I9" s="737" t="str">
        <f>F.1!$F$9</f>
        <v>Witness: Waller</v>
      </c>
      <c r="J9" s="119"/>
    </row>
    <row r="10" spans="1:14" ht="15.75">
      <c r="A10" s="162"/>
      <c r="B10" s="162"/>
      <c r="C10" s="163"/>
      <c r="D10" s="35" t="s">
        <v>333</v>
      </c>
      <c r="E10" s="163"/>
      <c r="F10" s="162"/>
      <c r="G10" s="163"/>
      <c r="H10" s="738" t="s">
        <v>334</v>
      </c>
      <c r="I10" s="163"/>
      <c r="J10" s="119"/>
      <c r="K10" s="840"/>
    </row>
    <row r="11" spans="1:14">
      <c r="A11" s="127" t="s">
        <v>98</v>
      </c>
      <c r="B11" s="119"/>
      <c r="C11" s="127"/>
      <c r="D11" s="76" t="s">
        <v>11</v>
      </c>
      <c r="E11" s="126" t="s">
        <v>12</v>
      </c>
      <c r="F11" s="119"/>
      <c r="G11" s="127"/>
      <c r="H11" s="126" t="str">
        <f>D11</f>
        <v xml:space="preserve">Kentucky </v>
      </c>
      <c r="I11" s="126" t="s">
        <v>1000</v>
      </c>
      <c r="J11" s="119"/>
      <c r="K11" s="1060"/>
    </row>
    <row r="12" spans="1:14">
      <c r="A12" s="128" t="s">
        <v>104</v>
      </c>
      <c r="B12" s="128" t="s">
        <v>1004</v>
      </c>
      <c r="C12" s="128" t="s">
        <v>109</v>
      </c>
      <c r="D12" s="84" t="s">
        <v>102</v>
      </c>
      <c r="E12" s="128" t="s">
        <v>109</v>
      </c>
      <c r="F12" s="124"/>
      <c r="G12" s="128" t="s">
        <v>109</v>
      </c>
      <c r="H12" s="128" t="str">
        <f>D12</f>
        <v>Jurisdictional</v>
      </c>
      <c r="I12" s="128" t="s">
        <v>109</v>
      </c>
      <c r="J12" s="119"/>
    </row>
    <row r="13" spans="1:14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L13" s="771"/>
      <c r="N13" s="771"/>
    </row>
    <row r="14" spans="1:14" ht="15.75">
      <c r="A14" s="126"/>
      <c r="B14" s="361"/>
      <c r="C14" s="559"/>
      <c r="D14" s="559"/>
      <c r="E14" s="559"/>
      <c r="F14" s="559"/>
      <c r="G14" s="559"/>
      <c r="H14" s="559"/>
      <c r="I14" s="559"/>
      <c r="J14" s="559"/>
      <c r="L14" s="771"/>
      <c r="N14" s="771"/>
    </row>
    <row r="15" spans="1:14">
      <c r="A15" s="127"/>
      <c r="B15" s="117"/>
      <c r="C15" s="117" t="s">
        <v>332</v>
      </c>
      <c r="D15" s="117" t="s">
        <v>332</v>
      </c>
      <c r="E15" s="117" t="s">
        <v>332</v>
      </c>
      <c r="F15" s="117" t="s">
        <v>332</v>
      </c>
      <c r="G15" s="119"/>
      <c r="H15" s="131" t="str">
        <f>F15</f>
        <v xml:space="preserve"> </v>
      </c>
      <c r="I15" s="117" t="s">
        <v>332</v>
      </c>
      <c r="J15" s="119"/>
    </row>
    <row r="16" spans="1:14">
      <c r="A16" s="126">
        <v>1</v>
      </c>
      <c r="B16" s="413" t="s">
        <v>198</v>
      </c>
      <c r="C16" s="462">
        <f>'[23]Rate Division 009 Summary '!$A$19</f>
        <v>14795.2</v>
      </c>
      <c r="D16" s="538">
        <v>1</v>
      </c>
      <c r="E16" s="407">
        <f>C16*D16</f>
        <v>14795.2</v>
      </c>
      <c r="F16" s="166"/>
      <c r="G16" s="407">
        <f>C16</f>
        <v>14795.2</v>
      </c>
      <c r="H16" s="536">
        <f>D16</f>
        <v>1</v>
      </c>
      <c r="I16" s="407">
        <f>G16*H16</f>
        <v>14795.2</v>
      </c>
      <c r="L16" s="771"/>
      <c r="N16" s="771"/>
    </row>
    <row r="17" spans="1:16">
      <c r="A17" s="127">
        <v>2</v>
      </c>
      <c r="B17" s="534"/>
      <c r="C17" s="499"/>
      <c r="D17" s="556"/>
      <c r="E17" s="555"/>
      <c r="F17" s="120"/>
      <c r="G17" s="555"/>
      <c r="H17" s="120"/>
      <c r="I17" s="555"/>
      <c r="J17" s="119"/>
      <c r="L17" s="771"/>
      <c r="N17" s="771"/>
    </row>
    <row r="18" spans="1:16">
      <c r="A18" s="126">
        <v>3</v>
      </c>
      <c r="B18" s="413" t="s">
        <v>83</v>
      </c>
      <c r="C18" s="497">
        <f>'[24]Rate Division 091 Summary '!$D$19</f>
        <v>33601.629999999997</v>
      </c>
      <c r="D18" s="560">
        <f>Allocation!$I$17</f>
        <v>0.49090457251500325</v>
      </c>
      <c r="E18" s="498">
        <f>C18*D18</f>
        <v>16495.193810957306</v>
      </c>
      <c r="F18" s="533"/>
      <c r="G18" s="498">
        <f>C18</f>
        <v>33601.629999999997</v>
      </c>
      <c r="H18" s="560">
        <f>Allocation!$E$17</f>
        <v>0.49090457251500325</v>
      </c>
      <c r="I18" s="498">
        <f>G18*H18</f>
        <v>16495.193810957306</v>
      </c>
      <c r="J18" s="119"/>
      <c r="L18" s="771"/>
      <c r="N18" s="771"/>
    </row>
    <row r="19" spans="1:16">
      <c r="A19" s="127">
        <v>4</v>
      </c>
      <c r="B19" s="534"/>
      <c r="C19" s="499"/>
      <c r="D19" s="557"/>
      <c r="E19" s="555"/>
      <c r="F19" s="120"/>
      <c r="G19" s="555"/>
      <c r="H19" s="561"/>
      <c r="I19" s="555"/>
      <c r="J19" s="119"/>
      <c r="L19" s="771"/>
    </row>
    <row r="20" spans="1:16">
      <c r="A20" s="126">
        <v>5</v>
      </c>
      <c r="B20" s="534" t="s">
        <v>81</v>
      </c>
      <c r="C20" s="499">
        <f>('[25]IEXP 002 Mar-Aug''15'!$Y$6148+'[25]Management Committee'!$Y$405)*2</f>
        <v>277654.75209104118</v>
      </c>
      <c r="D20" s="560">
        <f>Allocation!$I$14</f>
        <v>5.2575879716356848E-2</v>
      </c>
      <c r="E20" s="555">
        <f>C20*D20</f>
        <v>14597.942848613462</v>
      </c>
      <c r="F20" s="119"/>
      <c r="G20" s="555">
        <f>C20</f>
        <v>277654.75209104118</v>
      </c>
      <c r="H20" s="560">
        <f>Allocation!$E$14</f>
        <v>5.2575879716356848E-2</v>
      </c>
      <c r="I20" s="555">
        <f>G20*H20</f>
        <v>14597.942848613462</v>
      </c>
      <c r="L20" s="771"/>
      <c r="N20" s="771"/>
      <c r="P20" s="1060"/>
    </row>
    <row r="21" spans="1:16">
      <c r="A21" s="127">
        <v>6</v>
      </c>
      <c r="B21" s="534"/>
      <c r="C21" s="499"/>
      <c r="D21" s="558"/>
      <c r="E21" s="555"/>
      <c r="F21" s="119"/>
      <c r="G21" s="555"/>
      <c r="H21" s="562"/>
      <c r="I21" s="555"/>
      <c r="J21" s="119"/>
      <c r="L21" s="771"/>
      <c r="P21" s="1060"/>
    </row>
    <row r="22" spans="1:16">
      <c r="A22" s="126">
        <v>7</v>
      </c>
      <c r="B22" s="534" t="s">
        <v>82</v>
      </c>
      <c r="C22" s="1188">
        <f>'[26]IEXP 012 Mar-Aug''15'!$Y$4104*2</f>
        <v>149360.46172519735</v>
      </c>
      <c r="D22" s="560">
        <f>Allocation!$I$15</f>
        <v>5.712253040952902E-2</v>
      </c>
      <c r="E22" s="563">
        <f>C22*D22</f>
        <v>8531.8475168788809</v>
      </c>
      <c r="G22" s="563">
        <f>C22</f>
        <v>149360.46172519735</v>
      </c>
      <c r="H22" s="560">
        <f>Allocation!$E$15</f>
        <v>5.712253040952902E-2</v>
      </c>
      <c r="I22" s="563">
        <f>G22*H22</f>
        <v>8531.8475168788809</v>
      </c>
      <c r="L22" s="771"/>
      <c r="N22" s="771"/>
    </row>
    <row r="23" spans="1:16">
      <c r="A23" s="126">
        <v>8</v>
      </c>
    </row>
    <row r="24" spans="1:16" ht="15.75" thickBot="1">
      <c r="A24" s="126">
        <v>9</v>
      </c>
      <c r="B24" t="s">
        <v>904</v>
      </c>
      <c r="C24" s="420">
        <f>SUM(C16:C22)</f>
        <v>475412.04381623853</v>
      </c>
      <c r="E24" s="420">
        <f>SUM(E16:E22)</f>
        <v>54420.184176449649</v>
      </c>
      <c r="G24" s="420">
        <f>SUM(G16:G22)</f>
        <v>475412.04381623853</v>
      </c>
      <c r="I24" s="420">
        <f>SUM(I16:I22)</f>
        <v>54420.184176449649</v>
      </c>
    </row>
    <row r="25" spans="1:16" ht="15.75" thickTop="1">
      <c r="C25" s="414"/>
      <c r="E25" s="414"/>
      <c r="G25" s="414"/>
      <c r="I25" s="414"/>
    </row>
    <row r="27" spans="1:16">
      <c r="A27" s="95" t="s">
        <v>1350</v>
      </c>
    </row>
    <row r="31" spans="1:16">
      <c r="B31" t="s">
        <v>901</v>
      </c>
    </row>
    <row r="32" spans="1:16">
      <c r="B32" t="s">
        <v>902</v>
      </c>
    </row>
    <row r="33" spans="2:2">
      <c r="B33" t="s">
        <v>903</v>
      </c>
    </row>
    <row r="34" spans="2:2">
      <c r="B34" t="s">
        <v>1250</v>
      </c>
    </row>
    <row r="39" spans="2:2">
      <c r="B39" s="771"/>
    </row>
  </sheetData>
  <mergeCells count="5">
    <mergeCell ref="A5:I5"/>
    <mergeCell ref="A1:I1"/>
    <mergeCell ref="A2:I2"/>
    <mergeCell ref="A3:I3"/>
    <mergeCell ref="A4:I4"/>
  </mergeCells>
  <phoneticPr fontId="24" type="noConversion"/>
  <pageMargins left="0.8" right="0.61" top="1.05" bottom="0.5" header="0.8" footer="0.5"/>
  <pageSetup scale="88" orientation="landscape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60" zoomScaleNormal="90" workbookViewId="0">
      <selection activeCell="G39" sqref="G39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  <c r="G1" s="1262"/>
    </row>
    <row r="2" spans="1:10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262"/>
      <c r="H2" s="119"/>
    </row>
    <row r="3" spans="1:10" ht="15.75">
      <c r="A3" s="1262" t="s">
        <v>1295</v>
      </c>
      <c r="B3" s="1262"/>
      <c r="C3" s="1262"/>
      <c r="D3" s="1262"/>
      <c r="E3" s="1262"/>
      <c r="F3" s="1262"/>
      <c r="G3" s="1262"/>
      <c r="H3" s="119"/>
    </row>
    <row r="4" spans="1:10" ht="15.75">
      <c r="A4" s="1262"/>
      <c r="B4" s="1262"/>
      <c r="C4" s="1262"/>
      <c r="D4" s="1262"/>
      <c r="E4" s="1262"/>
      <c r="F4" s="1262"/>
      <c r="G4" s="1262"/>
      <c r="H4" s="119"/>
    </row>
    <row r="5" spans="1:10" ht="15.75">
      <c r="A5" s="1262"/>
      <c r="B5" s="1262"/>
      <c r="C5" s="1262"/>
      <c r="D5" s="1262"/>
      <c r="E5" s="1262"/>
      <c r="F5" s="1262"/>
      <c r="G5" s="1262"/>
      <c r="H5" s="119"/>
    </row>
    <row r="6" spans="1:10" ht="15.75">
      <c r="A6" s="119"/>
      <c r="B6" s="12"/>
      <c r="C6" s="12"/>
      <c r="D6" s="12"/>
      <c r="E6" s="12"/>
      <c r="F6" s="119"/>
      <c r="G6" s="119"/>
      <c r="H6" s="119"/>
    </row>
    <row r="7" spans="1:10" ht="15.75">
      <c r="A7" s="95" t="s">
        <v>141</v>
      </c>
      <c r="B7" s="119"/>
      <c r="C7" s="119"/>
      <c r="D7" s="119"/>
      <c r="E7" s="12"/>
      <c r="F7" s="119"/>
      <c r="G7" s="491" t="s">
        <v>1504</v>
      </c>
      <c r="H7" s="119"/>
    </row>
    <row r="8" spans="1:10" ht="15.75">
      <c r="A8" s="95" t="s">
        <v>1144</v>
      </c>
      <c r="B8" s="119"/>
      <c r="C8" s="119"/>
      <c r="D8" s="119"/>
      <c r="E8" s="12"/>
      <c r="F8" s="119"/>
      <c r="G8" s="736" t="s">
        <v>1294</v>
      </c>
      <c r="H8" s="119"/>
    </row>
    <row r="9" spans="1:10" ht="15.75">
      <c r="A9" s="95" t="s">
        <v>375</v>
      </c>
      <c r="B9" s="119"/>
      <c r="C9" s="119"/>
      <c r="D9" s="119"/>
      <c r="E9" s="876"/>
      <c r="F9" s="122"/>
      <c r="G9" s="795" t="str">
        <f>F.1!$F$9</f>
        <v>Witness: Waller</v>
      </c>
      <c r="H9" s="119"/>
    </row>
    <row r="10" spans="1:10">
      <c r="A10" s="162"/>
      <c r="B10" s="162"/>
      <c r="C10" s="162"/>
      <c r="D10" s="162"/>
      <c r="F10">
        <v>-1</v>
      </c>
    </row>
    <row r="11" spans="1:10">
      <c r="A11" s="127" t="s">
        <v>98</v>
      </c>
      <c r="B11" s="119"/>
      <c r="C11" s="119"/>
      <c r="D11" s="119"/>
      <c r="F11" s="887" t="s">
        <v>1306</v>
      </c>
    </row>
    <row r="12" spans="1:10">
      <c r="A12" s="128" t="s">
        <v>104</v>
      </c>
      <c r="B12" s="128" t="s">
        <v>1004</v>
      </c>
      <c r="C12" s="128" t="s">
        <v>1298</v>
      </c>
      <c r="D12" s="128" t="s">
        <v>1299</v>
      </c>
      <c r="E12" s="128" t="s">
        <v>1300</v>
      </c>
      <c r="F12" s="84" t="s">
        <v>1305</v>
      </c>
      <c r="G12" s="84" t="s">
        <v>1301</v>
      </c>
      <c r="H12" s="119"/>
      <c r="I12" s="840"/>
    </row>
    <row r="13" spans="1:10">
      <c r="A13" s="119"/>
      <c r="B13" s="119"/>
      <c r="C13" s="119"/>
      <c r="D13" s="119"/>
      <c r="E13" s="119"/>
      <c r="F13" s="119"/>
      <c r="G13" s="119"/>
      <c r="H13" s="119"/>
    </row>
    <row r="14" spans="1:10" ht="15.75">
      <c r="A14" s="413" t="s">
        <v>1296</v>
      </c>
      <c r="C14" s="413"/>
      <c r="D14" s="413"/>
      <c r="E14" s="559"/>
      <c r="F14" s="559"/>
      <c r="G14" s="559"/>
      <c r="H14" s="559"/>
      <c r="J14" s="771"/>
    </row>
    <row r="15" spans="1:10">
      <c r="A15" s="127"/>
      <c r="B15" s="117"/>
      <c r="C15" s="117"/>
      <c r="D15" s="117"/>
      <c r="E15" s="763" t="s">
        <v>332</v>
      </c>
      <c r="F15" s="763" t="s">
        <v>332</v>
      </c>
      <c r="G15" s="117" t="s">
        <v>332</v>
      </c>
      <c r="H15" s="119"/>
    </row>
    <row r="16" spans="1:10">
      <c r="A16" s="126">
        <v>1</v>
      </c>
      <c r="B16" s="413" t="s">
        <v>1297</v>
      </c>
      <c r="C16" s="881">
        <v>8593.33</v>
      </c>
      <c r="D16" s="361" t="s">
        <v>1497</v>
      </c>
      <c r="E16" s="878">
        <v>8</v>
      </c>
      <c r="F16" s="888">
        <f>'[27]Rent Adjustment'!$M$3</f>
        <v>0.27785912795156242</v>
      </c>
      <c r="G16" s="462">
        <f>C16*E16*F16</f>
        <v>19101.881440000001</v>
      </c>
      <c r="I16" s="797"/>
      <c r="J16" s="771"/>
    </row>
    <row r="17" spans="1:10">
      <c r="A17" s="127">
        <v>2</v>
      </c>
      <c r="B17" s="534"/>
      <c r="C17" s="462"/>
      <c r="D17" s="462"/>
      <c r="E17" s="877"/>
      <c r="F17" s="888"/>
      <c r="G17" s="556"/>
      <c r="H17" s="119"/>
      <c r="J17" s="771"/>
    </row>
    <row r="18" spans="1:10">
      <c r="A18" s="126">
        <v>3</v>
      </c>
      <c r="B18" s="413" t="s">
        <v>1496</v>
      </c>
      <c r="C18" s="881">
        <v>1166.5</v>
      </c>
      <c r="D18" s="361" t="s">
        <v>1497</v>
      </c>
      <c r="E18" s="878">
        <v>8</v>
      </c>
      <c r="F18" s="888">
        <f>'[27]Rent Adjustment'!$M$5</f>
        <v>0.39090000000000003</v>
      </c>
      <c r="G18" s="462">
        <f>C18*E18*F18</f>
        <v>3647.8788000000004</v>
      </c>
      <c r="H18" s="119"/>
      <c r="J18" s="771"/>
    </row>
    <row r="19" spans="1:10">
      <c r="A19" s="127">
        <v>4</v>
      </c>
      <c r="E19" s="499"/>
      <c r="F19" s="106"/>
      <c r="G19" s="557"/>
      <c r="H19" s="119"/>
    </row>
    <row r="20" spans="1:10">
      <c r="A20" s="126">
        <v>5</v>
      </c>
      <c r="B20" s="534" t="s">
        <v>1303</v>
      </c>
      <c r="C20" s="534"/>
      <c r="D20" s="534"/>
      <c r="E20" s="499"/>
      <c r="G20" s="880">
        <f>SUM(G16:G18)</f>
        <v>22749.760240000003</v>
      </c>
      <c r="J20" s="771"/>
    </row>
    <row r="21" spans="1:10">
      <c r="A21" s="127">
        <v>6</v>
      </c>
      <c r="B21" s="534"/>
      <c r="C21" s="534"/>
      <c r="D21" s="704"/>
      <c r="E21" s="499"/>
      <c r="G21" s="557"/>
      <c r="H21" s="119"/>
    </row>
    <row r="22" spans="1:10">
      <c r="A22" s="127">
        <v>7</v>
      </c>
      <c r="B22" s="534" t="s">
        <v>1302</v>
      </c>
      <c r="C22" s="534"/>
      <c r="D22" s="704"/>
      <c r="E22" s="499"/>
      <c r="G22" s="879">
        <f>-G20</f>
        <v>-22749.760240000003</v>
      </c>
      <c r="J22" s="771"/>
    </row>
    <row r="23" spans="1:10">
      <c r="A23" s="126"/>
      <c r="E23" s="499"/>
      <c r="F23" s="557"/>
      <c r="G23" s="555"/>
    </row>
    <row r="24" spans="1:10">
      <c r="A24" s="126"/>
      <c r="E24" s="499"/>
      <c r="F24" s="560"/>
      <c r="G24" s="555"/>
    </row>
    <row r="25" spans="1:10">
      <c r="E25" s="414"/>
      <c r="G25" s="414"/>
    </row>
    <row r="27" spans="1:10">
      <c r="A27" s="882" t="s">
        <v>540</v>
      </c>
    </row>
    <row r="29" spans="1:10">
      <c r="A29" s="924">
        <v>-1</v>
      </c>
      <c r="B29" s="106" t="s">
        <v>1498</v>
      </c>
      <c r="C29" s="106"/>
      <c r="D29" s="106"/>
      <c r="E29" s="106"/>
      <c r="F29" s="106"/>
      <c r="G29" s="106"/>
    </row>
    <row r="30" spans="1:10">
      <c r="A30" s="95"/>
    </row>
    <row r="31" spans="1:10">
      <c r="A31" s="95"/>
      <c r="B31" s="1058"/>
      <c r="C31" s="1058"/>
      <c r="D31" s="1058"/>
      <c r="E31" s="1058"/>
      <c r="F31" s="1058"/>
      <c r="G31" s="1058"/>
    </row>
    <row r="32" spans="1:10">
      <c r="A32" s="95"/>
      <c r="B32" s="1058"/>
      <c r="C32" s="1058"/>
      <c r="D32" s="1058"/>
      <c r="E32" s="1058"/>
      <c r="F32" s="1058"/>
      <c r="G32" s="1058"/>
    </row>
    <row r="33" spans="1:7">
      <c r="A33" s="95"/>
      <c r="B33" s="1058"/>
      <c r="C33" s="1058"/>
      <c r="D33" s="1058"/>
      <c r="E33" s="1058"/>
      <c r="F33" s="1058"/>
      <c r="G33" s="1058"/>
    </row>
    <row r="38" spans="1:7">
      <c r="B38" s="771"/>
      <c r="C38" s="771"/>
      <c r="D38" s="771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topLeftCell="A4" zoomScale="80" zoomScaleNormal="90" zoomScaleSheetLayoutView="80" workbookViewId="0">
      <selection activeCell="K21" sqref="K21"/>
    </sheetView>
  </sheetViews>
  <sheetFormatPr defaultRowHeight="15"/>
  <cols>
    <col min="1" max="1" width="5.88671875" customWidth="1"/>
    <col min="2" max="2" width="7.109375" customWidth="1"/>
    <col min="3" max="3" width="31.109375" bestFit="1" customWidth="1"/>
    <col min="4" max="4" width="11.88671875" customWidth="1"/>
    <col min="5" max="5" width="10.6640625" customWidth="1"/>
    <col min="6" max="6" width="11.44140625" customWidth="1"/>
  </cols>
  <sheetData>
    <row r="1" spans="1:9" ht="15.75">
      <c r="A1" s="1262" t="str">
        <f>'Table of Contents'!A1:C1</f>
        <v>Atmos Energy Corporation, Kentucky/Mid-States Division</v>
      </c>
      <c r="B1" s="1262"/>
      <c r="C1" s="1262"/>
      <c r="D1" s="1262"/>
      <c r="E1" s="1262"/>
      <c r="F1" s="1262"/>
    </row>
    <row r="2" spans="1:9" ht="15.75">
      <c r="A2" s="1262" t="str">
        <f>'Table of Contents'!A2:C2</f>
        <v>Kentucky Jurisdiction Case No. 2015-00343</v>
      </c>
      <c r="B2" s="1262" t="s">
        <v>332</v>
      </c>
      <c r="C2" s="1262"/>
      <c r="D2" s="1262"/>
      <c r="E2" s="1262"/>
      <c r="F2" s="1262"/>
      <c r="G2" s="119"/>
    </row>
    <row r="3" spans="1:9" ht="15.75">
      <c r="A3" s="1262" t="s">
        <v>1426</v>
      </c>
      <c r="B3" s="1262"/>
      <c r="C3" s="1262"/>
      <c r="D3" s="1262"/>
      <c r="E3" s="1262"/>
      <c r="F3" s="1262"/>
      <c r="G3" s="119"/>
    </row>
    <row r="4" spans="1:9" ht="15.75">
      <c r="A4" s="1262"/>
      <c r="B4" s="1262"/>
      <c r="C4" s="1262"/>
      <c r="D4" s="1262"/>
      <c r="E4" s="1262"/>
      <c r="F4" s="1262"/>
      <c r="G4" s="119"/>
    </row>
    <row r="5" spans="1:9" ht="15.75">
      <c r="A5" s="119"/>
      <c r="B5" s="12"/>
      <c r="C5" s="12"/>
      <c r="D5" s="12"/>
      <c r="E5" s="12"/>
      <c r="F5" s="119"/>
      <c r="G5" s="119"/>
    </row>
    <row r="6" spans="1:9" ht="15.75">
      <c r="A6" s="95" t="s">
        <v>141</v>
      </c>
      <c r="B6" s="119"/>
      <c r="C6" s="119"/>
      <c r="D6" s="119"/>
      <c r="E6" s="12"/>
      <c r="F6" s="491" t="s">
        <v>1504</v>
      </c>
      <c r="G6" s="119"/>
    </row>
    <row r="7" spans="1:9" ht="15.75">
      <c r="A7" s="95" t="s">
        <v>1144</v>
      </c>
      <c r="B7" s="119"/>
      <c r="C7" s="119"/>
      <c r="D7" s="119"/>
      <c r="E7" s="12"/>
      <c r="F7" s="736" t="s">
        <v>1415</v>
      </c>
      <c r="G7" s="119"/>
    </row>
    <row r="8" spans="1:9" ht="15.75">
      <c r="A8" s="95" t="s">
        <v>375</v>
      </c>
      <c r="B8" s="119"/>
      <c r="C8" s="119"/>
      <c r="D8" s="119"/>
      <c r="E8" s="876"/>
      <c r="F8" s="795" t="str">
        <f>F.1!$F$9</f>
        <v>Witness: Waller</v>
      </c>
      <c r="G8" s="119"/>
    </row>
    <row r="9" spans="1:9">
      <c r="A9" s="162"/>
      <c r="B9" s="162"/>
      <c r="C9" s="162"/>
      <c r="D9" s="162"/>
    </row>
    <row r="10" spans="1:9">
      <c r="A10" s="120"/>
      <c r="B10" s="120"/>
      <c r="C10" s="120"/>
      <c r="D10" s="120"/>
    </row>
    <row r="11" spans="1:9">
      <c r="A11" s="127" t="s">
        <v>98</v>
      </c>
      <c r="B11" s="119"/>
      <c r="C11" s="119"/>
      <c r="D11" s="119"/>
      <c r="E11" s="1010" t="s">
        <v>643</v>
      </c>
      <c r="F11" s="1010" t="s">
        <v>12</v>
      </c>
    </row>
    <row r="12" spans="1:9">
      <c r="A12" s="128" t="s">
        <v>104</v>
      </c>
      <c r="B12" s="128" t="s">
        <v>1416</v>
      </c>
      <c r="C12" s="128" t="s">
        <v>1417</v>
      </c>
      <c r="D12" s="128" t="s">
        <v>101</v>
      </c>
      <c r="E12" s="128" t="s">
        <v>1021</v>
      </c>
      <c r="F12" s="84" t="s">
        <v>1418</v>
      </c>
      <c r="G12" s="119"/>
      <c r="H12" s="840"/>
    </row>
    <row r="13" spans="1:9">
      <c r="A13" s="119"/>
      <c r="B13" s="119"/>
      <c r="C13" s="119"/>
      <c r="D13" s="119"/>
      <c r="E13" s="119"/>
      <c r="F13" s="119"/>
      <c r="G13" s="119"/>
    </row>
    <row r="14" spans="1:9">
      <c r="A14" s="16" t="s">
        <v>1419</v>
      </c>
      <c r="G14" s="130"/>
      <c r="H14" s="106"/>
      <c r="I14" s="890"/>
    </row>
    <row r="15" spans="1:9">
      <c r="A15" s="1014">
        <v>1</v>
      </c>
      <c r="B15" s="1010">
        <v>2</v>
      </c>
      <c r="C15" t="s">
        <v>1420</v>
      </c>
      <c r="D15" s="1189">
        <f>'[12]final summary'!$H$6</f>
        <v>8505422.4188045748</v>
      </c>
      <c r="E15" s="580">
        <f>Allocation!I14</f>
        <v>5.2575879716356848E-2</v>
      </c>
      <c r="F15" s="1015">
        <f>D15*E15</f>
        <v>447180.06602787424</v>
      </c>
      <c r="G15" s="130"/>
      <c r="H15" s="106"/>
      <c r="I15" s="890"/>
    </row>
    <row r="16" spans="1:9">
      <c r="B16" s="1010"/>
      <c r="D16" s="119"/>
      <c r="G16" s="130"/>
      <c r="H16" s="106"/>
      <c r="I16" s="890"/>
    </row>
    <row r="17" spans="1:9">
      <c r="A17" s="1014">
        <f>A15+1</f>
        <v>2</v>
      </c>
      <c r="B17" s="1010">
        <v>12</v>
      </c>
      <c r="C17" t="s">
        <v>1420</v>
      </c>
      <c r="D17" s="1189">
        <f>'[12]final summary'!$H$10</f>
        <v>0</v>
      </c>
      <c r="E17" s="580">
        <f>Allocation!I15</f>
        <v>5.712253040952902E-2</v>
      </c>
      <c r="F17" s="1015">
        <f>D17*E17</f>
        <v>0</v>
      </c>
      <c r="G17" s="130"/>
      <c r="H17" s="106"/>
      <c r="I17" s="890"/>
    </row>
    <row r="18" spans="1:9">
      <c r="A18" s="1014"/>
      <c r="B18" s="1010"/>
      <c r="D18" s="119"/>
      <c r="G18" s="130"/>
      <c r="H18" s="106"/>
      <c r="I18" s="890"/>
    </row>
    <row r="19" spans="1:9">
      <c r="A19" s="1014">
        <f>A17+1</f>
        <v>3</v>
      </c>
      <c r="B19" s="1010">
        <v>91</v>
      </c>
      <c r="C19" t="s">
        <v>1420</v>
      </c>
      <c r="D19" s="1189">
        <f>'[12]final summary'!$H$14</f>
        <v>893599.96359118226</v>
      </c>
      <c r="E19" s="580">
        <f>Allocation!H17</f>
        <v>0.49090457251500325</v>
      </c>
      <c r="F19" s="1015">
        <f>D19*E19</f>
        <v>438672.30812615179</v>
      </c>
      <c r="G19" s="130"/>
      <c r="H19" s="106"/>
      <c r="I19" s="890"/>
    </row>
    <row r="20" spans="1:9">
      <c r="A20" s="1014"/>
      <c r="B20" s="1010"/>
      <c r="D20" s="119"/>
      <c r="G20" s="130"/>
      <c r="H20" s="106"/>
      <c r="I20" s="890"/>
    </row>
    <row r="21" spans="1:9">
      <c r="A21" s="1014">
        <f>A19+1</f>
        <v>4</v>
      </c>
      <c r="B21" s="1010">
        <v>9</v>
      </c>
      <c r="C21" t="s">
        <v>1420</v>
      </c>
      <c r="D21" s="119">
        <v>0</v>
      </c>
      <c r="E21" s="580">
        <v>1</v>
      </c>
      <c r="F21" s="1015">
        <f>D21*E21</f>
        <v>0</v>
      </c>
      <c r="G21" s="130"/>
      <c r="H21" s="106"/>
      <c r="I21" s="890"/>
    </row>
    <row r="22" spans="1:9">
      <c r="A22" s="1014"/>
      <c r="D22" s="119"/>
      <c r="G22" s="130"/>
      <c r="H22" s="106"/>
      <c r="I22" s="890"/>
    </row>
    <row r="23" spans="1:9">
      <c r="A23" s="1014">
        <f>A21+1</f>
        <v>5</v>
      </c>
      <c r="C23" t="s">
        <v>1424</v>
      </c>
      <c r="D23" s="119"/>
      <c r="F23" s="1018">
        <f>SUM(F15:F22)</f>
        <v>885852.37415402604</v>
      </c>
      <c r="G23" s="130"/>
      <c r="H23" s="106"/>
      <c r="I23" s="890"/>
    </row>
    <row r="24" spans="1:9">
      <c r="A24" s="1014"/>
      <c r="D24" s="119"/>
      <c r="F24" s="192"/>
      <c r="G24" s="130"/>
      <c r="H24" s="106"/>
      <c r="I24" s="890"/>
    </row>
    <row r="25" spans="1:9">
      <c r="D25" s="119"/>
      <c r="G25" s="130"/>
      <c r="H25" s="106"/>
      <c r="I25" s="106"/>
    </row>
    <row r="26" spans="1:9">
      <c r="A26" s="16" t="s">
        <v>1421</v>
      </c>
      <c r="D26" s="119"/>
      <c r="G26" s="106"/>
      <c r="H26" s="106"/>
      <c r="I26" s="890"/>
    </row>
    <row r="27" spans="1:9">
      <c r="A27" s="1014">
        <f>A23+1</f>
        <v>6</v>
      </c>
      <c r="B27" s="1010">
        <v>2</v>
      </c>
      <c r="C27" t="s">
        <v>1422</v>
      </c>
      <c r="D27" s="1189">
        <f>'[12]final summary'!$H$30</f>
        <v>3773019.6502132686</v>
      </c>
      <c r="E27" s="1016">
        <f>E15</f>
        <v>5.2575879716356848E-2</v>
      </c>
      <c r="F27" s="1015">
        <f>D27*E27</f>
        <v>198369.8272970636</v>
      </c>
      <c r="G27" s="130"/>
      <c r="H27" s="106"/>
      <c r="I27" s="106"/>
    </row>
    <row r="28" spans="1:9">
      <c r="A28" s="1014">
        <f>A27+1</f>
        <v>7</v>
      </c>
      <c r="B28" s="1010"/>
      <c r="C28" t="s">
        <v>1429</v>
      </c>
      <c r="D28" s="1189">
        <f>'[12]final summary'!$H$34</f>
        <v>5929807.1518043391</v>
      </c>
      <c r="E28" s="580">
        <f>E27</f>
        <v>5.2575879716356848E-2</v>
      </c>
      <c r="F28" s="1015">
        <f>D28*E28</f>
        <v>311764.82755445753</v>
      </c>
      <c r="G28" s="106"/>
      <c r="H28" s="106"/>
      <c r="I28" s="890"/>
    </row>
    <row r="29" spans="1:9">
      <c r="A29" s="1014"/>
      <c r="B29" s="1010"/>
      <c r="D29" s="119"/>
      <c r="G29" s="106"/>
      <c r="H29" s="106"/>
      <c r="I29" s="106"/>
    </row>
    <row r="30" spans="1:9">
      <c r="A30" s="1014">
        <f>A28+1</f>
        <v>8</v>
      </c>
      <c r="B30" s="1010">
        <v>12</v>
      </c>
      <c r="C30" t="s">
        <v>1422</v>
      </c>
      <c r="D30" s="1189">
        <f>'[12]final summary'!$H$38</f>
        <v>112210.07528716989</v>
      </c>
      <c r="E30" s="580">
        <f>E17</f>
        <v>5.712253040952902E-2</v>
      </c>
      <c r="F30" s="1015">
        <f>D30*E30</f>
        <v>6409.7234378469029</v>
      </c>
      <c r="G30" s="106"/>
      <c r="H30" s="106"/>
      <c r="I30" s="106"/>
    </row>
    <row r="31" spans="1:9">
      <c r="A31" s="1014">
        <f>A30+1</f>
        <v>9</v>
      </c>
      <c r="B31" s="1010"/>
      <c r="C31" t="s">
        <v>1429</v>
      </c>
      <c r="D31" s="1189">
        <f>'[12]final summary'!$H$42</f>
        <v>254926.25492709776</v>
      </c>
      <c r="E31" s="580">
        <f>E30</f>
        <v>5.712253040952902E-2</v>
      </c>
      <c r="F31" s="1015">
        <f>D31*E31</f>
        <v>14562.032749260488</v>
      </c>
      <c r="G31" s="106"/>
      <c r="H31" s="106"/>
      <c r="I31" s="106"/>
    </row>
    <row r="32" spans="1:9">
      <c r="A32" s="106"/>
      <c r="B32" s="1010"/>
      <c r="D32" s="119"/>
      <c r="G32" s="106"/>
      <c r="H32" s="106"/>
      <c r="I32" s="106"/>
    </row>
    <row r="33" spans="1:9">
      <c r="A33" s="1014">
        <f>A31+1</f>
        <v>10</v>
      </c>
      <c r="B33" s="1010">
        <v>91</v>
      </c>
      <c r="C33" t="s">
        <v>1422</v>
      </c>
      <c r="D33" s="1189">
        <f>'[12]final summary'!$H$46</f>
        <v>48662.7639237599</v>
      </c>
      <c r="E33" s="580">
        <f>E19</f>
        <v>0.49090457251500325</v>
      </c>
      <c r="F33" s="1015">
        <f>D33*E33</f>
        <v>23888.773321391876</v>
      </c>
      <c r="G33" s="106"/>
      <c r="H33" s="106"/>
      <c r="I33" s="106"/>
    </row>
    <row r="34" spans="1:9">
      <c r="A34" s="1014">
        <f>A33+1</f>
        <v>11</v>
      </c>
      <c r="B34" s="1010"/>
      <c r="C34" t="s">
        <v>1429</v>
      </c>
      <c r="D34" s="1189">
        <f>'[12]final summary'!$H$50</f>
        <v>103080.81141690264</v>
      </c>
      <c r="E34" s="580">
        <f>E33</f>
        <v>0.49090457251500325</v>
      </c>
      <c r="F34" s="1015">
        <f>D34*E34</f>
        <v>50602.841663114254</v>
      </c>
      <c r="G34" s="106"/>
      <c r="H34" s="106"/>
      <c r="I34" s="106"/>
    </row>
    <row r="35" spans="1:9">
      <c r="A35" s="924"/>
      <c r="B35" s="1010"/>
      <c r="D35" s="119"/>
      <c r="G35" s="106"/>
      <c r="H35" s="106"/>
      <c r="I35" s="106"/>
    </row>
    <row r="36" spans="1:9">
      <c r="A36" s="1014">
        <f>A34+1</f>
        <v>12</v>
      </c>
      <c r="B36" s="1010">
        <v>9</v>
      </c>
      <c r="C36" t="s">
        <v>1422</v>
      </c>
      <c r="D36" s="1189">
        <f>'[12]final summary'!$H$54</f>
        <v>8311.6916494825837</v>
      </c>
      <c r="E36" s="580">
        <v>1</v>
      </c>
      <c r="F36" s="1015">
        <f>D36*E36</f>
        <v>8311.6916494825837</v>
      </c>
      <c r="G36" s="106"/>
      <c r="H36" s="106"/>
      <c r="I36" s="106"/>
    </row>
    <row r="37" spans="1:9">
      <c r="A37" s="1014">
        <f>A36+1</f>
        <v>13</v>
      </c>
      <c r="C37" t="s">
        <v>1429</v>
      </c>
      <c r="D37" s="1189">
        <f>'[12]final summary'!$H$58</f>
        <v>21457.213052159059</v>
      </c>
      <c r="E37" s="580">
        <v>1</v>
      </c>
      <c r="F37" s="1015">
        <f>D37*E37</f>
        <v>21457.213052159059</v>
      </c>
      <c r="G37" s="106"/>
      <c r="H37" s="106"/>
      <c r="I37" s="106"/>
    </row>
    <row r="38" spans="1:9">
      <c r="A38" s="106"/>
      <c r="G38" s="106"/>
      <c r="H38" s="106"/>
      <c r="I38" s="106"/>
    </row>
    <row r="39" spans="1:9">
      <c r="A39" s="1014">
        <f>A37+1</f>
        <v>14</v>
      </c>
      <c r="C39" t="s">
        <v>1423</v>
      </c>
      <c r="F39" s="1018">
        <f>SUM(F27:F37)</f>
        <v>635366.93072477635</v>
      </c>
      <c r="G39" s="106"/>
      <c r="H39" s="106"/>
      <c r="I39" s="106"/>
    </row>
    <row r="40" spans="1:9">
      <c r="A40" s="106"/>
      <c r="G40" s="106"/>
      <c r="H40" s="106"/>
      <c r="I40" s="106"/>
    </row>
    <row r="41" spans="1:9" ht="18" customHeight="1" thickBot="1">
      <c r="A41" s="1014">
        <f>A39+1</f>
        <v>15</v>
      </c>
      <c r="C41" t="s">
        <v>1425</v>
      </c>
      <c r="F41" s="1017">
        <f>F23+F39</f>
        <v>1521219.3048788025</v>
      </c>
      <c r="G41" s="106"/>
      <c r="H41" s="106"/>
      <c r="I41" s="106"/>
    </row>
    <row r="42" spans="1:9" ht="15.75" thickTop="1">
      <c r="A42" s="106"/>
      <c r="B42" s="106"/>
      <c r="C42" s="106"/>
      <c r="D42" s="106"/>
      <c r="E42" s="106"/>
      <c r="F42" s="106"/>
      <c r="G42" s="106"/>
      <c r="H42" s="106"/>
      <c r="I42" s="106"/>
    </row>
    <row r="44" spans="1:9">
      <c r="B44" s="771"/>
      <c r="C44" s="771"/>
      <c r="D44" s="771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>
      <selection activeCell="G26" sqref="G26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2" style="1" bestFit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4.441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235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3">
      <c r="A2" s="235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3">
      <c r="A3" s="116" t="s">
        <v>526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3">
      <c r="A4" s="903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3">
      <c r="A5" s="903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3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3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491" t="s">
        <v>1505</v>
      </c>
    </row>
    <row r="8" spans="1:13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736" t="s">
        <v>858</v>
      </c>
    </row>
    <row r="9" spans="1:13">
      <c r="A9" s="118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737" t="str">
        <f>F.1!$F$9</f>
        <v>Witness: Waller</v>
      </c>
    </row>
    <row r="10" spans="1:13" ht="15.75">
      <c r="A10" s="176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860"/>
    </row>
    <row r="11" spans="1:13">
      <c r="A11" s="119"/>
      <c r="B11" s="119"/>
      <c r="C11" s="119"/>
      <c r="D11" s="120"/>
      <c r="E11" s="120"/>
      <c r="F11" s="120"/>
      <c r="G11" s="120"/>
      <c r="H11" s="531"/>
      <c r="I11" s="120"/>
      <c r="J11" s="120"/>
      <c r="K11" s="120"/>
      <c r="L11" s="120"/>
    </row>
    <row r="12" spans="1:13">
      <c r="A12" s="119"/>
      <c r="B12" s="119"/>
      <c r="C12" s="119"/>
      <c r="D12" s="531" t="s">
        <v>101</v>
      </c>
      <c r="E12" s="120"/>
      <c r="F12" s="120"/>
      <c r="G12" s="120"/>
      <c r="H12" s="531" t="s">
        <v>538</v>
      </c>
      <c r="I12" s="120"/>
      <c r="J12" s="120"/>
      <c r="K12" s="120"/>
      <c r="L12" s="531" t="s">
        <v>334</v>
      </c>
    </row>
    <row r="13" spans="1:13">
      <c r="A13" s="127" t="s">
        <v>98</v>
      </c>
      <c r="B13" s="119"/>
      <c r="C13" s="859" t="s">
        <v>1261</v>
      </c>
      <c r="D13" s="531" t="s">
        <v>107</v>
      </c>
      <c r="E13" s="120"/>
      <c r="F13" s="120"/>
      <c r="G13" s="120"/>
      <c r="H13" s="531" t="s">
        <v>346</v>
      </c>
      <c r="I13" s="120"/>
      <c r="J13" s="120"/>
      <c r="K13" s="120"/>
      <c r="L13" s="531" t="s">
        <v>102</v>
      </c>
    </row>
    <row r="14" spans="1:13">
      <c r="A14" s="128" t="s">
        <v>104</v>
      </c>
      <c r="B14" s="128" t="s">
        <v>1004</v>
      </c>
      <c r="C14" s="541" t="s">
        <v>1259</v>
      </c>
      <c r="D14" s="541" t="s">
        <v>1005</v>
      </c>
      <c r="E14" s="122"/>
      <c r="F14" s="541" t="s">
        <v>346</v>
      </c>
      <c r="G14" s="122"/>
      <c r="H14" s="541" t="s">
        <v>1005</v>
      </c>
      <c r="I14" s="122"/>
      <c r="J14" s="541" t="s">
        <v>1006</v>
      </c>
      <c r="K14" s="122"/>
      <c r="L14" s="541" t="s">
        <v>1100</v>
      </c>
      <c r="M14" s="16"/>
    </row>
    <row r="15" spans="1:13">
      <c r="A15" s="119"/>
      <c r="B15" s="119"/>
      <c r="C15" s="119"/>
      <c r="D15" s="127"/>
      <c r="E15" s="119"/>
      <c r="F15" s="127"/>
      <c r="G15" s="119"/>
      <c r="H15" s="127"/>
      <c r="I15" s="117"/>
      <c r="J15" s="127"/>
      <c r="K15" s="117"/>
      <c r="L15" s="127"/>
    </row>
    <row r="16" spans="1:13">
      <c r="A16" s="127">
        <v>1</v>
      </c>
      <c r="B16" s="17" t="s">
        <v>866</v>
      </c>
      <c r="C16" s="17"/>
      <c r="D16" s="574"/>
      <c r="E16" s="119"/>
      <c r="F16" s="119"/>
      <c r="G16" s="119"/>
      <c r="H16" s="119"/>
      <c r="I16" s="119"/>
      <c r="J16" s="119"/>
      <c r="K16" s="119"/>
      <c r="L16" s="575"/>
    </row>
    <row r="17" spans="1:14">
      <c r="A17" s="127">
        <v>2</v>
      </c>
      <c r="B17" s="117" t="s">
        <v>407</v>
      </c>
      <c r="C17" s="117"/>
      <c r="D17" s="653">
        <f>G.2!M26</f>
        <v>11673907.908954974</v>
      </c>
      <c r="E17" s="119"/>
      <c r="F17" s="177" t="s">
        <v>152</v>
      </c>
      <c r="G17" s="119"/>
      <c r="H17" s="653">
        <f>+D17</f>
        <v>11673907.908954974</v>
      </c>
      <c r="I17" s="119"/>
      <c r="J17" s="653">
        <f>L17-H17</f>
        <v>382580.15194537677</v>
      </c>
      <c r="K17" s="119"/>
      <c r="L17" s="653">
        <f>G.2!O26</f>
        <v>12056488.060900351</v>
      </c>
    </row>
    <row r="18" spans="1:14">
      <c r="A18" s="127">
        <v>3</v>
      </c>
      <c r="B18" s="119"/>
      <c r="C18" s="119"/>
      <c r="D18" s="114"/>
      <c r="E18" s="119"/>
      <c r="F18" s="132"/>
      <c r="G18" s="119"/>
      <c r="H18" s="114"/>
      <c r="I18" s="119"/>
      <c r="J18" s="114"/>
      <c r="K18" s="119"/>
      <c r="L18" s="114"/>
      <c r="N18" s="771"/>
    </row>
    <row r="19" spans="1:14">
      <c r="A19" s="127">
        <v>4</v>
      </c>
      <c r="B19" s="17" t="s">
        <v>633</v>
      </c>
      <c r="C19" s="771"/>
      <c r="D19" s="114"/>
      <c r="E19" s="119"/>
      <c r="F19" s="132"/>
      <c r="G19" s="119"/>
      <c r="H19" s="114"/>
      <c r="I19" s="119"/>
      <c r="J19" s="114"/>
      <c r="K19" s="119"/>
      <c r="L19" s="114"/>
    </row>
    <row r="20" spans="1:14">
      <c r="A20" s="127">
        <v>5</v>
      </c>
      <c r="B20" s="117" t="s">
        <v>1260</v>
      </c>
      <c r="C20" s="872">
        <f>'[28]Benefit''s Summary'!$K$77</f>
        <v>4.1424994185931908E-2</v>
      </c>
      <c r="D20" s="442">
        <f>D$17*C20</f>
        <v>483591.56725556433</v>
      </c>
      <c r="E20" s="246"/>
      <c r="F20" s="177" t="s">
        <v>152</v>
      </c>
      <c r="G20" s="119"/>
      <c r="H20" s="442">
        <f t="shared" ref="H20:H25" si="0">D20</f>
        <v>483591.56725556433</v>
      </c>
      <c r="I20" s="119"/>
      <c r="J20" s="442">
        <f t="shared" ref="J20:J25" si="1">L20-H20</f>
        <v>15848.3805699902</v>
      </c>
      <c r="K20" s="119"/>
      <c r="L20" s="442">
        <f>L$17*C20</f>
        <v>499439.94782555453</v>
      </c>
      <c r="N20" s="1060"/>
    </row>
    <row r="21" spans="1:14">
      <c r="A21" s="127">
        <v>6</v>
      </c>
      <c r="B21" s="117" t="s">
        <v>1108</v>
      </c>
      <c r="C21" s="872">
        <f>'[28]Benefit''s Summary'!$K$68</f>
        <v>5.3628103209498137E-2</v>
      </c>
      <c r="D21" s="113">
        <f>D$17*C21-418902</f>
        <v>207147.53819961392</v>
      </c>
      <c r="E21" s="246"/>
      <c r="F21" s="177" t="s">
        <v>152</v>
      </c>
      <c r="G21" s="119"/>
      <c r="H21" s="113">
        <f t="shared" si="0"/>
        <v>207147.53819961392</v>
      </c>
      <c r="I21" s="119"/>
      <c r="J21" s="113">
        <f t="shared" si="1"/>
        <v>263568.04787443217</v>
      </c>
      <c r="K21" s="119"/>
      <c r="L21" s="113">
        <f>L$17*C21-175851</f>
        <v>470715.58607404609</v>
      </c>
      <c r="M21" s="771"/>
      <c r="N21" s="1060"/>
    </row>
    <row r="22" spans="1:14">
      <c r="A22" s="127">
        <v>7</v>
      </c>
      <c r="B22" s="117" t="s">
        <v>624</v>
      </c>
      <c r="C22" s="872">
        <f>'[28]Benefit''s Summary'!$K$76</f>
        <v>0.19919443185698368</v>
      </c>
      <c r="D22" s="113">
        <f>D$17*C22</f>
        <v>2325377.4534750343</v>
      </c>
      <c r="E22" s="577"/>
      <c r="F22" s="872" t="s">
        <v>152</v>
      </c>
      <c r="G22" s="130"/>
      <c r="H22" s="113">
        <f t="shared" si="0"/>
        <v>2325377.4534750343</v>
      </c>
      <c r="I22" s="130"/>
      <c r="J22" s="113">
        <f t="shared" si="1"/>
        <v>76207.836006517988</v>
      </c>
      <c r="K22" s="130"/>
      <c r="L22" s="113">
        <f>L$17*C22</f>
        <v>2401585.2894815523</v>
      </c>
    </row>
    <row r="23" spans="1:14">
      <c r="A23" s="127">
        <v>8</v>
      </c>
      <c r="B23" s="175" t="s">
        <v>850</v>
      </c>
      <c r="C23" s="872">
        <f>'[28]Benefit''s Summary'!$K$78</f>
        <v>8.7996697417042524E-2</v>
      </c>
      <c r="D23" s="113">
        <f>D$17*C23</f>
        <v>1027265.3419387304</v>
      </c>
      <c r="E23" s="246"/>
      <c r="F23" s="177" t="s">
        <v>152</v>
      </c>
      <c r="G23" s="119"/>
      <c r="H23" s="113">
        <f t="shared" si="0"/>
        <v>1027265.3419387304</v>
      </c>
      <c r="I23" s="119"/>
      <c r="J23" s="113">
        <f t="shared" si="1"/>
        <v>33665.78986850346</v>
      </c>
      <c r="K23" s="119"/>
      <c r="L23" s="113">
        <f>L$17*C23</f>
        <v>1060931.1318072339</v>
      </c>
    </row>
    <row r="24" spans="1:14">
      <c r="A24" s="127">
        <v>9</v>
      </c>
      <c r="B24" s="117"/>
      <c r="C24" s="117"/>
      <c r="D24" s="174"/>
      <c r="E24" s="119"/>
      <c r="F24" s="177" t="s">
        <v>152</v>
      </c>
      <c r="G24" s="119"/>
      <c r="H24" s="174">
        <f t="shared" si="0"/>
        <v>0</v>
      </c>
      <c r="I24" s="119"/>
      <c r="J24" s="174">
        <f t="shared" si="1"/>
        <v>0</v>
      </c>
      <c r="K24" s="119"/>
      <c r="L24" s="174"/>
      <c r="N24" s="771"/>
    </row>
    <row r="25" spans="1:14">
      <c r="A25" s="127">
        <v>10</v>
      </c>
      <c r="B25" s="117" t="s">
        <v>625</v>
      </c>
      <c r="C25" s="117"/>
      <c r="D25" s="442">
        <f>G.2!M35</f>
        <v>4956963.8146209773</v>
      </c>
      <c r="E25" s="246"/>
      <c r="F25" s="132" t="s">
        <v>332</v>
      </c>
      <c r="G25" s="119"/>
      <c r="H25" s="442">
        <f t="shared" si="0"/>
        <v>4956963.8146209773</v>
      </c>
      <c r="I25" s="119"/>
      <c r="J25" s="442">
        <f t="shared" si="1"/>
        <v>217840.25626926776</v>
      </c>
      <c r="K25" s="119"/>
      <c r="L25" s="442">
        <f>G.2!O35</f>
        <v>5174804.070890245</v>
      </c>
    </row>
    <row r="26" spans="1:14">
      <c r="A26" s="127">
        <v>11</v>
      </c>
      <c r="B26" s="119"/>
      <c r="C26" s="119"/>
      <c r="D26" s="113"/>
      <c r="E26" s="119"/>
      <c r="F26" s="178" t="s">
        <v>332</v>
      </c>
      <c r="G26" s="119"/>
      <c r="H26" s="113" t="s">
        <v>332</v>
      </c>
      <c r="I26" s="119"/>
      <c r="J26" s="113"/>
      <c r="K26" s="119"/>
      <c r="L26" s="113"/>
    </row>
    <row r="27" spans="1:14">
      <c r="A27" s="127">
        <v>12</v>
      </c>
      <c r="B27" s="17" t="s">
        <v>815</v>
      </c>
      <c r="C27" s="17"/>
      <c r="D27" s="113"/>
      <c r="E27" s="119"/>
      <c r="F27" s="178" t="s">
        <v>332</v>
      </c>
      <c r="G27" s="119"/>
      <c r="H27" s="113" t="s">
        <v>332</v>
      </c>
      <c r="I27" s="119"/>
      <c r="J27" s="113"/>
      <c r="K27" s="119"/>
      <c r="L27" s="113" t="s">
        <v>697</v>
      </c>
    </row>
    <row r="28" spans="1:14">
      <c r="A28" s="127">
        <v>13</v>
      </c>
      <c r="B28" s="117" t="s">
        <v>554</v>
      </c>
      <c r="C28" s="117"/>
      <c r="D28" s="442">
        <f>'C.2.3 B'!O12</f>
        <v>385832.72007133806</v>
      </c>
      <c r="E28" s="119"/>
      <c r="F28" s="177" t="s">
        <v>152</v>
      </c>
      <c r="G28" s="119"/>
      <c r="H28" s="749">
        <f>D28</f>
        <v>385832.72007133806</v>
      </c>
      <c r="I28" s="119"/>
      <c r="J28" s="442">
        <f>L28-H28</f>
        <v>14615.461571140215</v>
      </c>
      <c r="K28" s="119"/>
      <c r="L28" s="442">
        <f>'C.2.3 F'!O13</f>
        <v>400448.18164247827</v>
      </c>
    </row>
    <row r="29" spans="1:14">
      <c r="A29" s="127">
        <v>14</v>
      </c>
      <c r="B29" s="117" t="s">
        <v>1123</v>
      </c>
      <c r="C29" s="117"/>
      <c r="D29" s="113">
        <f>'C.2.3 B'!O13</f>
        <v>-751.29328233584602</v>
      </c>
      <c r="E29" s="119"/>
      <c r="F29" s="177" t="s">
        <v>152</v>
      </c>
      <c r="G29" s="119"/>
      <c r="H29" s="238">
        <f>D29</f>
        <v>-751.29328233584602</v>
      </c>
      <c r="I29" s="119"/>
      <c r="J29" s="113">
        <f>L29-H29</f>
        <v>-32.033750470075233</v>
      </c>
      <c r="K29" s="119"/>
      <c r="L29" s="113">
        <f>'C.2.3 F'!O14</f>
        <v>-783.32703280592125</v>
      </c>
    </row>
    <row r="30" spans="1:14">
      <c r="A30" s="127">
        <v>15</v>
      </c>
      <c r="B30" s="117" t="s">
        <v>698</v>
      </c>
      <c r="C30" s="117"/>
      <c r="D30" s="113">
        <f>'C.2.3 B'!O14</f>
        <v>2462.8332109976977</v>
      </c>
      <c r="E30" s="119"/>
      <c r="F30" s="177" t="s">
        <v>152</v>
      </c>
      <c r="G30" s="119"/>
      <c r="H30" s="238">
        <f>D30</f>
        <v>2462.8332109976977</v>
      </c>
      <c r="I30" s="119"/>
      <c r="J30" s="113">
        <f>L30-H30</f>
        <v>102.18908732993123</v>
      </c>
      <c r="K30" s="119"/>
      <c r="L30" s="113">
        <f>'C.2.3 F'!O15</f>
        <v>2565.022298327629</v>
      </c>
    </row>
    <row r="31" spans="1:14">
      <c r="A31" s="127">
        <v>16</v>
      </c>
      <c r="B31" s="117" t="s">
        <v>648</v>
      </c>
      <c r="C31" s="117"/>
      <c r="D31" s="750">
        <f>SUM(D28:D30)</f>
        <v>387544.25999999989</v>
      </c>
      <c r="E31" s="119"/>
      <c r="F31" s="132"/>
      <c r="G31" s="119"/>
      <c r="H31" s="750">
        <f>D31</f>
        <v>387544.25999999989</v>
      </c>
      <c r="I31" s="119"/>
      <c r="J31" s="750">
        <f>L31-H31</f>
        <v>14685.616908000084</v>
      </c>
      <c r="K31" s="119"/>
      <c r="L31" s="750">
        <f>SUM(L28:L30)</f>
        <v>402229.87690799998</v>
      </c>
    </row>
    <row r="32" spans="1:14">
      <c r="A32" s="127">
        <v>17</v>
      </c>
      <c r="B32" s="119"/>
      <c r="C32" s="119"/>
      <c r="D32" s="113"/>
      <c r="E32" s="119"/>
      <c r="F32" s="178" t="s">
        <v>332</v>
      </c>
      <c r="G32" s="119"/>
      <c r="H32" s="113" t="s">
        <v>332</v>
      </c>
      <c r="I32" s="119"/>
      <c r="J32" s="113"/>
      <c r="K32" s="119"/>
      <c r="L32" s="113" t="s">
        <v>332</v>
      </c>
    </row>
    <row r="33" spans="1:13" ht="15.75" thickBot="1">
      <c r="A33" s="127">
        <v>18</v>
      </c>
      <c r="B33" s="117" t="s">
        <v>867</v>
      </c>
      <c r="C33" s="117"/>
      <c r="D33" s="751">
        <f>D17+D25+D31</f>
        <v>17018415.983575951</v>
      </c>
      <c r="E33" s="119"/>
      <c r="F33" s="132"/>
      <c r="G33" s="119"/>
      <c r="H33" s="751">
        <f>D33</f>
        <v>17018415.983575951</v>
      </c>
      <c r="I33" s="119"/>
      <c r="J33" s="751">
        <f>J17+J25+J31</f>
        <v>615106.02512264461</v>
      </c>
      <c r="K33" s="119"/>
      <c r="L33" s="751">
        <f>H33+J33</f>
        <v>17633522.008698598</v>
      </c>
    </row>
    <row r="34" spans="1:13" ht="15.75" thickTop="1">
      <c r="A34" s="119"/>
      <c r="B34" s="119"/>
      <c r="C34" s="119"/>
      <c r="D34" s="113"/>
      <c r="E34" s="119"/>
      <c r="F34" s="134"/>
      <c r="G34" s="119"/>
      <c r="H34" s="134"/>
      <c r="I34" s="119"/>
      <c r="J34" s="134"/>
      <c r="K34" s="119"/>
      <c r="L34" s="113"/>
    </row>
    <row r="35" spans="1:13">
      <c r="A35" s="119"/>
      <c r="B35" s="119"/>
      <c r="C35" s="119"/>
      <c r="D35" s="136"/>
      <c r="E35" s="119"/>
      <c r="F35" s="119"/>
      <c r="G35" s="119"/>
      <c r="H35" s="119"/>
      <c r="I35" s="119"/>
      <c r="J35" s="134"/>
      <c r="K35" s="119"/>
      <c r="L35" s="113"/>
    </row>
    <row r="36" spans="1:13">
      <c r="A36" s="119"/>
      <c r="B36" s="119"/>
      <c r="C36" s="119"/>
      <c r="D36" s="134"/>
      <c r="E36" s="119"/>
      <c r="F36" s="119"/>
      <c r="G36" s="119"/>
      <c r="H36" s="119"/>
      <c r="I36" s="119"/>
      <c r="J36" s="134"/>
      <c r="K36" s="119"/>
      <c r="L36" s="134"/>
    </row>
    <row r="37" spans="1:13">
      <c r="A37" s="119"/>
      <c r="B37" s="119"/>
      <c r="C37" s="119"/>
      <c r="D37" s="134"/>
      <c r="E37" s="119"/>
      <c r="F37" s="119"/>
      <c r="G37" s="119"/>
      <c r="H37" s="119"/>
      <c r="I37" s="119"/>
      <c r="J37" s="134"/>
      <c r="K37" s="119"/>
      <c r="L37" s="134"/>
    </row>
    <row r="38" spans="1:13">
      <c r="A38" s="119"/>
      <c r="B38" s="119" t="s">
        <v>701</v>
      </c>
      <c r="C38" s="119"/>
      <c r="D38" s="119"/>
      <c r="E38" s="119"/>
      <c r="F38" s="771"/>
      <c r="G38" s="119"/>
      <c r="H38" s="119"/>
      <c r="I38" s="119"/>
      <c r="J38" s="119"/>
      <c r="K38" s="119"/>
      <c r="L38" s="119"/>
    </row>
    <row r="39" spans="1:13">
      <c r="A39" s="119" t="s">
        <v>332</v>
      </c>
      <c r="B39" s="873" t="s">
        <v>1606</v>
      </c>
      <c r="C39" s="119"/>
      <c r="D39" s="119"/>
      <c r="E39" s="119"/>
      <c r="F39" s="771"/>
      <c r="G39" s="119"/>
      <c r="H39" s="119"/>
      <c r="I39" s="119"/>
      <c r="J39" s="119"/>
      <c r="K39" s="119"/>
      <c r="L39" s="119"/>
    </row>
    <row r="40" spans="1:13">
      <c r="A40" s="119"/>
      <c r="B40" s="119"/>
      <c r="C40" s="119"/>
      <c r="D40" s="119"/>
      <c r="E40" s="119"/>
      <c r="F40" s="771"/>
      <c r="G40" s="119"/>
      <c r="H40" s="119"/>
      <c r="I40" s="119"/>
      <c r="J40" s="119"/>
      <c r="K40" s="119"/>
      <c r="L40" s="119"/>
    </row>
    <row r="41" spans="1:13">
      <c r="A41" s="119"/>
      <c r="B41" s="119"/>
      <c r="C41" s="119"/>
    </row>
    <row r="42" spans="1:13">
      <c r="A42" s="119"/>
      <c r="B42" s="119"/>
      <c r="D42" s="771"/>
      <c r="E42" s="771"/>
      <c r="F42" s="771"/>
      <c r="G42" s="771"/>
      <c r="H42" s="771"/>
      <c r="I42" s="771"/>
      <c r="J42" s="771"/>
      <c r="K42" s="771"/>
      <c r="L42" s="771"/>
      <c r="M42" s="771"/>
    </row>
    <row r="43" spans="1:13">
      <c r="A43" s="119"/>
      <c r="B43" s="119"/>
      <c r="D43" s="771"/>
      <c r="E43" s="771"/>
      <c r="F43" s="771"/>
      <c r="G43" s="771"/>
      <c r="H43" s="771"/>
      <c r="I43" s="771"/>
      <c r="J43" s="771"/>
      <c r="K43" s="771"/>
      <c r="L43" s="771"/>
      <c r="M43" s="771"/>
    </row>
    <row r="44" spans="1:13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13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3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3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4" type="noConversion"/>
  <pageMargins left="0.5" right="0.5" top="0.75" bottom="0.5" header="0.5" footer="0.5"/>
  <pageSetup scale="84" orientation="landscape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V99"/>
  <sheetViews>
    <sheetView view="pageBreakPreview" topLeftCell="A2" zoomScale="60" zoomScaleNormal="80" workbookViewId="0">
      <pane xSplit="2" ySplit="12" topLeftCell="C14" activePane="bottomRight" state="frozen"/>
      <selection activeCell="G39" sqref="G39"/>
      <selection pane="topRight" activeCell="G39" sqref="G39"/>
      <selection pane="bottomLeft" activeCell="G39" sqref="G39"/>
      <selection pane="bottomRight" activeCell="H52" sqref="H52"/>
    </sheetView>
  </sheetViews>
  <sheetFormatPr defaultColWidth="7.109375" defaultRowHeight="15"/>
  <cols>
    <col min="1" max="1" width="5.109375" style="1" customWidth="1"/>
    <col min="2" max="2" width="26.88671875" style="1" customWidth="1"/>
    <col min="3" max="15" width="11.33203125" style="1" customWidth="1"/>
    <col min="16" max="16" width="2.109375" style="1" customWidth="1"/>
    <col min="17" max="17" width="6.5546875" style="1" customWidth="1"/>
    <col min="18" max="18" width="7.109375" style="1"/>
    <col min="19" max="19" width="7.88671875" style="1" customWidth="1"/>
    <col min="20" max="21" width="10.44140625" style="1" bestFit="1" customWidth="1"/>
    <col min="22" max="16384" width="7.109375" style="1"/>
  </cols>
  <sheetData>
    <row r="1" spans="1:18">
      <c r="A1" s="376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19"/>
      <c r="Q1"/>
    </row>
    <row r="2" spans="1:18">
      <c r="A2" s="376" t="str">
        <f>'Table of Contents'!A2:C2</f>
        <v>Kentucky Jurisdiction Case No. 2015-00343</v>
      </c>
      <c r="B2" s="179"/>
      <c r="C2" s="125"/>
      <c r="D2" s="125"/>
      <c r="E2" s="125"/>
      <c r="F2" s="125"/>
      <c r="G2" s="125"/>
      <c r="H2" s="125"/>
      <c r="I2" s="125"/>
      <c r="J2" s="125"/>
      <c r="K2" s="180"/>
      <c r="L2" s="125"/>
      <c r="M2" s="125"/>
      <c r="N2" s="125"/>
      <c r="O2" s="125"/>
      <c r="P2" s="119"/>
      <c r="Q2"/>
    </row>
    <row r="3" spans="1:18">
      <c r="A3" s="180" t="s">
        <v>1183</v>
      </c>
      <c r="B3" s="181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9"/>
      <c r="Q3"/>
    </row>
    <row r="4" spans="1:18">
      <c r="A4" s="903" t="str">
        <f>'Table of Contents'!A3:C3</f>
        <v>Base Period: Twelve Months Ended February 29, 2016</v>
      </c>
      <c r="B4" s="180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19"/>
      <c r="Q4"/>
    </row>
    <row r="5" spans="1:18">
      <c r="A5" s="903" t="str">
        <f>'Table of Contents'!A4:C4</f>
        <v>Forecasted Test Period: Twelve Months Ended May 31, 2017</v>
      </c>
      <c r="B5" s="180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19"/>
      <c r="Q5"/>
    </row>
    <row r="6" spans="1:18">
      <c r="A6" s="237"/>
      <c r="B6" s="180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19"/>
      <c r="Q6"/>
    </row>
    <row r="7" spans="1:18">
      <c r="A7" s="117" t="s">
        <v>696</v>
      </c>
      <c r="B7" s="119"/>
      <c r="C7" s="119"/>
      <c r="D7" s="119"/>
      <c r="E7" s="119"/>
      <c r="F7" s="119"/>
      <c r="G7" s="119"/>
      <c r="H7" s="119"/>
      <c r="I7" s="119"/>
      <c r="J7" s="119"/>
      <c r="K7" s="245"/>
      <c r="L7" s="119"/>
      <c r="N7" s="119"/>
      <c r="O7" s="491" t="s">
        <v>1505</v>
      </c>
      <c r="P7" s="119"/>
    </row>
    <row r="8" spans="1:18">
      <c r="A8" s="117" t="s">
        <v>555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N8" s="119"/>
      <c r="O8" s="182" t="s">
        <v>859</v>
      </c>
      <c r="P8" s="119"/>
      <c r="Q8"/>
    </row>
    <row r="9" spans="1:18">
      <c r="A9" s="584" t="s">
        <v>440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795" t="str">
        <f>F.1!$F$9</f>
        <v>Witness: Waller</v>
      </c>
      <c r="P9" s="124"/>
      <c r="Q9"/>
      <c r="R9" s="1060"/>
    </row>
    <row r="10" spans="1:18">
      <c r="A10" s="119"/>
      <c r="B10" s="119"/>
      <c r="C10" s="119"/>
      <c r="D10" s="119"/>
      <c r="E10" s="119"/>
      <c r="F10" s="119"/>
      <c r="G10" s="59" t="s">
        <v>37</v>
      </c>
      <c r="H10" s="119"/>
      <c r="I10" s="119"/>
      <c r="J10" s="119"/>
      <c r="K10" s="119"/>
      <c r="L10" s="119"/>
      <c r="M10" s="119"/>
      <c r="N10" s="119"/>
      <c r="O10" s="119"/>
      <c r="P10" s="119"/>
      <c r="Q10"/>
    </row>
    <row r="11" spans="1:18">
      <c r="A11" s="184" t="s">
        <v>98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7" t="s">
        <v>45</v>
      </c>
      <c r="N11" s="119"/>
      <c r="O11" s="127" t="s">
        <v>44</v>
      </c>
      <c r="P11" s="119"/>
      <c r="Q11"/>
    </row>
    <row r="12" spans="1:18">
      <c r="A12" s="183" t="s">
        <v>61</v>
      </c>
      <c r="B12" s="183" t="s">
        <v>1004</v>
      </c>
      <c r="C12" s="1190">
        <v>2010</v>
      </c>
      <c r="D12" s="862" t="s">
        <v>507</v>
      </c>
      <c r="E12" s="1190">
        <v>2011</v>
      </c>
      <c r="F12" s="862" t="s">
        <v>507</v>
      </c>
      <c r="G12" s="1190">
        <v>2012</v>
      </c>
      <c r="H12" s="862" t="s">
        <v>507</v>
      </c>
      <c r="I12" s="1190">
        <v>2013</v>
      </c>
      <c r="J12" s="862" t="s">
        <v>507</v>
      </c>
      <c r="K12" s="1190">
        <v>2014</v>
      </c>
      <c r="L12" s="862" t="s">
        <v>507</v>
      </c>
      <c r="M12" s="862" t="s">
        <v>553</v>
      </c>
      <c r="N12" s="862" t="s">
        <v>507</v>
      </c>
      <c r="O12" s="862" t="s">
        <v>553</v>
      </c>
      <c r="P12" s="124"/>
      <c r="Q12" s="771"/>
    </row>
    <row r="13" spans="1:18">
      <c r="A13" s="119"/>
      <c r="B13" s="11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19"/>
      <c r="Q13" s="771"/>
    </row>
    <row r="14" spans="1:18">
      <c r="A14" s="126">
        <f t="shared" ref="A14:A50" si="0">+A13+1</f>
        <v>1</v>
      </c>
      <c r="B14" s="11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19"/>
    </row>
    <row r="15" spans="1:18">
      <c r="A15" s="126">
        <f t="shared" si="0"/>
        <v>2</v>
      </c>
      <c r="B15" s="119"/>
      <c r="C15" s="170"/>
      <c r="D15" s="130"/>
      <c r="E15" s="170"/>
      <c r="F15" s="170"/>
      <c r="G15" s="170"/>
      <c r="H15" s="130"/>
      <c r="I15" s="170"/>
      <c r="J15" s="130"/>
      <c r="K15" s="170"/>
      <c r="L15" s="130"/>
      <c r="M15" s="170"/>
      <c r="N15" s="130"/>
      <c r="O15" s="170"/>
      <c r="P15" s="119"/>
    </row>
    <row r="16" spans="1:18">
      <c r="A16" s="126">
        <f t="shared" si="0"/>
        <v>3</v>
      </c>
      <c r="B16" s="61" t="s">
        <v>757</v>
      </c>
      <c r="C16" s="185"/>
      <c r="D16" s="130"/>
      <c r="E16" s="185"/>
      <c r="F16" s="185"/>
      <c r="G16" s="185"/>
      <c r="H16" s="130"/>
      <c r="I16" s="185"/>
      <c r="J16" s="130"/>
      <c r="K16" s="185"/>
      <c r="L16" s="130"/>
      <c r="M16" s="185"/>
      <c r="N16" s="130"/>
      <c r="O16" s="185"/>
      <c r="P16" s="119"/>
      <c r="Q16"/>
    </row>
    <row r="17" spans="1:22">
      <c r="A17" s="126">
        <f t="shared" si="0"/>
        <v>4</v>
      </c>
      <c r="B17" s="182" t="s">
        <v>806</v>
      </c>
      <c r="C17" s="185">
        <v>416546</v>
      </c>
      <c r="D17" s="756">
        <f>ROUND((E17-C17)/C17,4)</f>
        <v>-5.9200000000000003E-2</v>
      </c>
      <c r="E17" s="185">
        <v>391871</v>
      </c>
      <c r="F17" s="756">
        <f>ROUND((G17-E17)/E17,4)</f>
        <v>0.1164</v>
      </c>
      <c r="G17" s="185">
        <v>437473</v>
      </c>
      <c r="H17" s="756">
        <f>ROUND((I17-G17)/G17,4)</f>
        <v>-6.0900000000000003E-2</v>
      </c>
      <c r="I17" s="185">
        <v>410825.02</v>
      </c>
      <c r="J17" s="756">
        <f>ROUND((K17-I17)/I17,4)</f>
        <v>-1.6000000000000001E-3</v>
      </c>
      <c r="K17" s="185">
        <v>410170.87</v>
      </c>
      <c r="L17" s="756">
        <f>ROUND((M17-K17)/K17,4)</f>
        <v>0.1055</v>
      </c>
      <c r="M17" s="185">
        <f>M49*52*40</f>
        <v>453440</v>
      </c>
      <c r="N17" s="756">
        <f>ROUND((O17-M17)/M17,4)</f>
        <v>0</v>
      </c>
      <c r="O17" s="185">
        <f>O49*52*40</f>
        <v>453440</v>
      </c>
      <c r="P17" s="119"/>
      <c r="R17" s="771"/>
    </row>
    <row r="18" spans="1:22">
      <c r="A18" s="126">
        <f t="shared" si="0"/>
        <v>5</v>
      </c>
      <c r="B18" s="182" t="s">
        <v>17</v>
      </c>
      <c r="C18" s="858">
        <v>23261</v>
      </c>
      <c r="D18" s="756">
        <f>ROUND((E18-C18)/C18,4)</f>
        <v>2.7799999999999998E-2</v>
      </c>
      <c r="E18" s="858">
        <v>23907</v>
      </c>
      <c r="F18" s="756">
        <f>ROUND((G18-E18)/E18,4)</f>
        <v>-0.24030000000000001</v>
      </c>
      <c r="G18" s="858">
        <v>18161</v>
      </c>
      <c r="H18" s="756">
        <f>ROUND((I18-G18)/G18,4)</f>
        <v>1.72E-2</v>
      </c>
      <c r="I18" s="858">
        <v>18473.259999999998</v>
      </c>
      <c r="J18" s="756">
        <f>ROUND((K18-I18)/I18,4)</f>
        <v>0.15010000000000001</v>
      </c>
      <c r="K18" s="858">
        <v>21245.75</v>
      </c>
      <c r="L18" s="756">
        <f>ROUND((M18-K18)/K18,4)</f>
        <v>3.2500000000000001E-2</v>
      </c>
      <c r="M18" s="858">
        <f>($I$18+$K$18)/($I$17+$K$17)*M17</f>
        <v>21937.001285597176</v>
      </c>
      <c r="N18" s="756">
        <f>ROUND((O18-M18)/M18,4)</f>
        <v>0</v>
      </c>
      <c r="O18" s="858">
        <f>($I$18+$K$18)/($I$17+$K$17)*O17</f>
        <v>21937.001285597176</v>
      </c>
      <c r="P18" s="119"/>
      <c r="Q18"/>
    </row>
    <row r="19" spans="1:22">
      <c r="A19" s="126">
        <f t="shared" si="0"/>
        <v>6</v>
      </c>
      <c r="B19" s="182" t="s">
        <v>992</v>
      </c>
      <c r="C19" s="156">
        <f>(C17+C18)</f>
        <v>439807</v>
      </c>
      <c r="D19" s="756">
        <f>ROUND((E19-C19)/C19,4)</f>
        <v>-5.4600000000000003E-2</v>
      </c>
      <c r="E19" s="156">
        <f>(E17+E18)</f>
        <v>415778</v>
      </c>
      <c r="F19" s="756">
        <f>ROUND((G19-E19)/E19,4)</f>
        <v>9.5899999999999999E-2</v>
      </c>
      <c r="G19" s="156">
        <f>(G17+G18)</f>
        <v>455634</v>
      </c>
      <c r="H19" s="756">
        <f>ROUND((I19-G19)/G19,4)</f>
        <v>-5.7799999999999997E-2</v>
      </c>
      <c r="I19" s="156">
        <f>(I17+I18)</f>
        <v>429298.28</v>
      </c>
      <c r="J19" s="756">
        <f>ROUND((K19-I19)/I19,4)</f>
        <v>4.8999999999999998E-3</v>
      </c>
      <c r="K19" s="156">
        <f>(K17+K18)</f>
        <v>431416.62</v>
      </c>
      <c r="L19" s="756">
        <f>ROUND((M19-K19)/K19,4)</f>
        <v>0.1019</v>
      </c>
      <c r="M19" s="156">
        <f>(M17+M18)</f>
        <v>475377.00128559716</v>
      </c>
      <c r="N19" s="756">
        <f>ROUND((O19-M19)/M19,4)</f>
        <v>0</v>
      </c>
      <c r="O19" s="156">
        <f>(O17+O18)</f>
        <v>475377.00128559716</v>
      </c>
      <c r="P19" s="119"/>
      <c r="Q19"/>
    </row>
    <row r="20" spans="1:22">
      <c r="A20" s="126">
        <f t="shared" si="0"/>
        <v>7</v>
      </c>
      <c r="B20" s="182" t="s">
        <v>18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19"/>
      <c r="Q20"/>
    </row>
    <row r="21" spans="1:22">
      <c r="A21" s="126">
        <f t="shared" si="0"/>
        <v>8</v>
      </c>
      <c r="B21" s="182" t="s">
        <v>65</v>
      </c>
      <c r="C21" s="186">
        <f>ROUND((C18/C17),5)</f>
        <v>5.5840000000000001E-2</v>
      </c>
      <c r="D21" s="130"/>
      <c r="E21" s="186">
        <f>ROUND((E18/E17),5)</f>
        <v>6.1010000000000002E-2</v>
      </c>
      <c r="F21" s="130"/>
      <c r="G21" s="186">
        <f>ROUND((G18/G17),5)</f>
        <v>4.1509999999999998E-2</v>
      </c>
      <c r="H21" s="130"/>
      <c r="I21" s="186">
        <f>ROUND((I18/I17),5)</f>
        <v>4.4970000000000003E-2</v>
      </c>
      <c r="J21" s="130"/>
      <c r="K21" s="186">
        <f>ROUND((K18/K17),5)</f>
        <v>5.1799999999999999E-2</v>
      </c>
      <c r="L21" s="130"/>
      <c r="M21" s="186">
        <f>ROUND((M18/M17),5)</f>
        <v>4.8379999999999999E-2</v>
      </c>
      <c r="N21" s="130"/>
      <c r="O21" s="186">
        <f>ROUND((O18/O17),5)</f>
        <v>4.8379999999999999E-2</v>
      </c>
      <c r="P21" s="119"/>
      <c r="Q21"/>
    </row>
    <row r="22" spans="1:22">
      <c r="A22" s="126">
        <f t="shared" si="0"/>
        <v>9</v>
      </c>
      <c r="B22" s="119"/>
      <c r="C22" s="185"/>
      <c r="D22" s="130"/>
      <c r="E22" s="185"/>
      <c r="F22" s="130"/>
      <c r="G22" s="185"/>
      <c r="H22" s="130"/>
      <c r="I22" s="185"/>
      <c r="J22" s="130"/>
      <c r="K22" s="185"/>
      <c r="L22" s="130"/>
      <c r="M22" s="185"/>
      <c r="N22" s="130"/>
      <c r="O22" s="185"/>
      <c r="P22" s="119"/>
      <c r="Q22"/>
    </row>
    <row r="23" spans="1:22">
      <c r="A23" s="126">
        <f t="shared" si="0"/>
        <v>10</v>
      </c>
      <c r="B23" s="61" t="s">
        <v>758</v>
      </c>
      <c r="C23" s="185"/>
      <c r="D23" s="130"/>
      <c r="E23" s="185"/>
      <c r="F23" s="130"/>
      <c r="G23" s="185"/>
      <c r="H23" s="130"/>
      <c r="I23" s="185"/>
      <c r="J23" s="130"/>
      <c r="K23" s="185"/>
      <c r="L23" s="130"/>
      <c r="M23" s="185"/>
      <c r="N23" s="130"/>
      <c r="O23" s="185"/>
      <c r="P23" s="119"/>
      <c r="Q23"/>
    </row>
    <row r="24" spans="1:22">
      <c r="A24" s="126">
        <f t="shared" si="0"/>
        <v>11</v>
      </c>
      <c r="B24" s="182" t="s">
        <v>759</v>
      </c>
      <c r="C24" s="185">
        <v>9692733</v>
      </c>
      <c r="D24" s="756">
        <f>ROUND((E24-C24)/C24,4)</f>
        <v>4.5999999999999999E-3</v>
      </c>
      <c r="E24" s="185">
        <v>9737325</v>
      </c>
      <c r="F24" s="756">
        <f>ROUND((G24-E24)/E24,4)</f>
        <v>1.29E-2</v>
      </c>
      <c r="G24" s="185">
        <v>9862636</v>
      </c>
      <c r="H24" s="756">
        <f>ROUND((I24-G24)/G24,4)</f>
        <v>6.1100000000000002E-2</v>
      </c>
      <c r="I24" s="185">
        <v>10464861.35</v>
      </c>
      <c r="J24" s="756">
        <f>ROUND((K24-I24)/I24,4)</f>
        <v>1.29E-2</v>
      </c>
      <c r="K24" s="185">
        <v>10599619.02</v>
      </c>
      <c r="L24" s="756">
        <f>ROUND((M24-K24)/K24,4)</f>
        <v>2.7099999999999999E-2</v>
      </c>
      <c r="M24" s="847">
        <f>M26-M25</f>
        <v>10887028.146351865</v>
      </c>
      <c r="N24" s="756">
        <f>ROUND((O24-M24)/M24,4)</f>
        <v>2.75E-2</v>
      </c>
      <c r="O24" s="847">
        <f>O26-O25</f>
        <v>11186913.859507913</v>
      </c>
      <c r="P24" s="119"/>
      <c r="Q24"/>
      <c r="R24" s="771"/>
    </row>
    <row r="25" spans="1:22">
      <c r="A25" s="126">
        <f t="shared" si="0"/>
        <v>12</v>
      </c>
      <c r="B25" s="182" t="s">
        <v>19</v>
      </c>
      <c r="C25" s="858">
        <v>606303</v>
      </c>
      <c r="D25" s="756">
        <f>ROUND((E25-C25)/C25,4)</f>
        <v>7.7499999999999999E-2</v>
      </c>
      <c r="E25" s="858">
        <v>653307</v>
      </c>
      <c r="F25" s="756">
        <f>ROUND((G25-E25)/E25,4)</f>
        <v>-0.1038</v>
      </c>
      <c r="G25" s="858">
        <v>585480</v>
      </c>
      <c r="H25" s="756">
        <f>ROUND((I25-G25)/G25,4)</f>
        <v>0.12330000000000001</v>
      </c>
      <c r="I25" s="858">
        <v>657641.64</v>
      </c>
      <c r="J25" s="756">
        <f>ROUND((K25-I25)/I25,4)</f>
        <v>0.15989999999999999</v>
      </c>
      <c r="K25" s="858">
        <v>762823.65</v>
      </c>
      <c r="L25" s="756">
        <f>ROUND((M25-K25)/K25,4)</f>
        <v>3.15E-2</v>
      </c>
      <c r="M25" s="857">
        <f>AVERAGE(I28,K28)*M26</f>
        <v>786879.76260310994</v>
      </c>
      <c r="N25" s="756">
        <f>ROUND((O25-M25)/M25,4)</f>
        <v>0.1051</v>
      </c>
      <c r="O25" s="857">
        <f>AVERAGE(K28,M28)*O26</f>
        <v>869574.2013924378</v>
      </c>
      <c r="P25" s="119"/>
      <c r="Q25"/>
      <c r="R25" s="771"/>
      <c r="S25" s="771"/>
      <c r="T25" s="771"/>
      <c r="U25" s="771"/>
    </row>
    <row r="26" spans="1:22">
      <c r="A26" s="126">
        <f t="shared" si="0"/>
        <v>13</v>
      </c>
      <c r="B26" s="182" t="s">
        <v>804</v>
      </c>
      <c r="C26" s="156">
        <f>(C24+C25)</f>
        <v>10299036</v>
      </c>
      <c r="D26" s="756">
        <f>ROUND((E26-C26)/C26,4)</f>
        <v>8.8999999999999999E-3</v>
      </c>
      <c r="E26" s="156">
        <f>(E24+E25)</f>
        <v>10390632</v>
      </c>
      <c r="F26" s="756">
        <f>ROUND((G26-E26)/E26,4)</f>
        <v>5.4999999999999997E-3</v>
      </c>
      <c r="G26" s="156">
        <f>(G24+G25)</f>
        <v>10448116</v>
      </c>
      <c r="H26" s="756">
        <f>ROUND((I26-G26)/G26,4)</f>
        <v>6.4500000000000002E-2</v>
      </c>
      <c r="I26" s="156">
        <f>(I24+I25)</f>
        <v>11122502.99</v>
      </c>
      <c r="J26" s="756">
        <f>ROUND((K26-I26)/I26,4)</f>
        <v>2.1600000000000001E-2</v>
      </c>
      <c r="K26" s="156">
        <f>(K24+K25)</f>
        <v>11362442.67</v>
      </c>
      <c r="L26" s="756">
        <f>ROUND((M26-K26)/K26,4)</f>
        <v>2.7400000000000001E-2</v>
      </c>
      <c r="M26" s="847">
        <f>M30/'[29]Div 9'!$B$35</f>
        <v>11673907.908954974</v>
      </c>
      <c r="N26" s="756">
        <f>ROUND((O26-M26)/M26,4)</f>
        <v>3.2800000000000003E-2</v>
      </c>
      <c r="O26" s="847">
        <f>O30/'[29]Div 9'!$B$43</f>
        <v>12056488.060900351</v>
      </c>
      <c r="P26" s="119"/>
      <c r="R26" s="856"/>
      <c r="S26" s="856"/>
      <c r="T26" s="771"/>
      <c r="U26" s="771"/>
      <c r="V26" s="1060"/>
    </row>
    <row r="27" spans="1:22">
      <c r="A27" s="126">
        <f t="shared" si="0"/>
        <v>14</v>
      </c>
      <c r="B27" s="182" t="s">
        <v>20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19"/>
      <c r="R27" s="771"/>
      <c r="T27" s="771"/>
      <c r="U27" s="771"/>
    </row>
    <row r="28" spans="1:22">
      <c r="A28" s="126">
        <f t="shared" si="0"/>
        <v>15</v>
      </c>
      <c r="B28" s="182" t="s">
        <v>1059</v>
      </c>
      <c r="C28" s="186">
        <f>ROUND((C25/C24),5)</f>
        <v>6.2549999999999994E-2</v>
      </c>
      <c r="D28" s="130"/>
      <c r="E28" s="186">
        <f>ROUND((E25/E24),5)</f>
        <v>6.7089999999999997E-2</v>
      </c>
      <c r="F28" s="130"/>
      <c r="G28" s="186">
        <f>ROUND((G25/G24),5)</f>
        <v>5.9360000000000003E-2</v>
      </c>
      <c r="H28" s="130"/>
      <c r="I28" s="186">
        <f>ROUND((I25/I24),5)</f>
        <v>6.2839999999999993E-2</v>
      </c>
      <c r="J28" s="130"/>
      <c r="K28" s="186">
        <f>ROUND((K25/K24),5)</f>
        <v>7.1970000000000006E-2</v>
      </c>
      <c r="L28" s="130"/>
      <c r="M28" s="186">
        <f>ROUND((M25/M24),5)</f>
        <v>7.2279999999999997E-2</v>
      </c>
      <c r="N28" s="130"/>
      <c r="O28" s="186">
        <f>ROUND((O25/O24),5)</f>
        <v>7.7729999999999994E-2</v>
      </c>
      <c r="P28" s="119"/>
      <c r="Q28"/>
    </row>
    <row r="29" spans="1:22">
      <c r="A29" s="126">
        <f t="shared" si="0"/>
        <v>16</v>
      </c>
      <c r="B29" s="119"/>
      <c r="C29" s="185"/>
      <c r="D29" s="130"/>
      <c r="E29" s="185"/>
      <c r="F29" s="130"/>
      <c r="G29" s="185"/>
      <c r="H29" s="130"/>
      <c r="I29" s="185"/>
      <c r="J29" s="130"/>
      <c r="K29" s="185"/>
      <c r="L29" s="130"/>
      <c r="M29" s="185"/>
      <c r="N29" s="130"/>
      <c r="O29" s="185"/>
      <c r="P29" s="119"/>
      <c r="Q29"/>
    </row>
    <row r="30" spans="1:22">
      <c r="A30" s="126">
        <f t="shared" si="0"/>
        <v>17</v>
      </c>
      <c r="B30" s="182" t="s">
        <v>66</v>
      </c>
      <c r="C30" s="185">
        <v>5692325</v>
      </c>
      <c r="D30" s="756">
        <f>ROUND((E30-C30)/C30,4)</f>
        <v>-2.64E-2</v>
      </c>
      <c r="E30" s="185">
        <v>5541779</v>
      </c>
      <c r="F30" s="756">
        <f>ROUND((G30-E30)/E30,4)</f>
        <v>-0.14680000000000001</v>
      </c>
      <c r="G30" s="185">
        <v>4728247</v>
      </c>
      <c r="H30" s="756">
        <f>ROUND((I30-G30)/G30,4)</f>
        <v>7.7399999999999997E-2</v>
      </c>
      <c r="I30" s="185">
        <v>5094063.0600000005</v>
      </c>
      <c r="J30" s="756">
        <f>ROUND((K30-I30)/I30,4)</f>
        <v>-1.84E-2</v>
      </c>
      <c r="K30" s="185">
        <v>5000231.1099999994</v>
      </c>
      <c r="L30" s="756">
        <f>ROUND((M30-K30)/K30,4)</f>
        <v>-1.41E-2</v>
      </c>
      <c r="M30" s="185">
        <f>'[12]O&amp;M Comparison'!$C$6</f>
        <v>4929596.88</v>
      </c>
      <c r="N30" s="756">
        <f>ROUND((O30-M30)/M30,4)</f>
        <v>-4.0000000000000002E-4</v>
      </c>
      <c r="O30" s="185">
        <f>'[12]O&amp;M Comparison'!$D$6</f>
        <v>4927623.3196000019</v>
      </c>
      <c r="P30" s="119"/>
      <c r="Q30"/>
      <c r="R30" s="771"/>
    </row>
    <row r="31" spans="1:22">
      <c r="A31" s="126">
        <f t="shared" si="0"/>
        <v>18</v>
      </c>
      <c r="B31" s="182" t="s">
        <v>67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9"/>
      <c r="Q31"/>
    </row>
    <row r="32" spans="1:22">
      <c r="A32" s="126">
        <f t="shared" si="0"/>
        <v>19</v>
      </c>
      <c r="B32" s="182" t="s">
        <v>632</v>
      </c>
      <c r="C32" s="186">
        <f>ROUND((C30/C26),5)</f>
        <v>0.55269999999999997</v>
      </c>
      <c r="D32" s="130"/>
      <c r="E32" s="186">
        <f>ROUND((E30/E26),5)</f>
        <v>0.53334000000000004</v>
      </c>
      <c r="F32" s="130"/>
      <c r="G32" s="186">
        <f>ROUND((G30/G26),5)</f>
        <v>0.45255000000000001</v>
      </c>
      <c r="H32" s="130"/>
      <c r="I32" s="186">
        <f>ROUND((I30/I26),5)</f>
        <v>0.45800000000000002</v>
      </c>
      <c r="J32" s="130"/>
      <c r="K32" s="186">
        <f>ROUND((K30/K26),5)</f>
        <v>0.44007000000000002</v>
      </c>
      <c r="L32" s="130"/>
      <c r="M32" s="186">
        <f>ROUND((M30/M26),5)</f>
        <v>0.42226999999999998</v>
      </c>
      <c r="N32" s="130"/>
      <c r="O32" s="186">
        <f>ROUND((O30/O26),5)</f>
        <v>0.40871000000000002</v>
      </c>
      <c r="P32" s="119"/>
      <c r="Q32"/>
    </row>
    <row r="33" spans="1:17">
      <c r="A33" s="126">
        <f t="shared" si="0"/>
        <v>20</v>
      </c>
      <c r="B33" s="11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19"/>
      <c r="Q33"/>
    </row>
    <row r="34" spans="1:17">
      <c r="A34" s="126">
        <f t="shared" si="0"/>
        <v>21</v>
      </c>
      <c r="B34" s="61" t="s">
        <v>633</v>
      </c>
      <c r="C34" s="185"/>
      <c r="D34" s="130"/>
      <c r="E34" s="185"/>
      <c r="F34" s="130"/>
      <c r="G34" s="185"/>
      <c r="H34" s="130"/>
      <c r="I34" s="185"/>
      <c r="J34" s="130"/>
      <c r="K34" s="185"/>
      <c r="L34" s="130"/>
      <c r="M34" s="185"/>
      <c r="N34" s="130"/>
      <c r="O34" s="185"/>
      <c r="P34" s="119"/>
      <c r="Q34"/>
    </row>
    <row r="35" spans="1:17">
      <c r="A35" s="126">
        <f t="shared" si="0"/>
        <v>22</v>
      </c>
      <c r="B35" s="182" t="s">
        <v>752</v>
      </c>
      <c r="C35" s="136">
        <v>4596969</v>
      </c>
      <c r="D35" s="756">
        <f>ROUND((E35-C35)/C35,4)</f>
        <v>7.4300000000000005E-2</v>
      </c>
      <c r="E35" s="136">
        <v>4938502</v>
      </c>
      <c r="F35" s="756">
        <f>ROUND((G35-E35)/E35,4)</f>
        <v>-9.8100000000000007E-2</v>
      </c>
      <c r="G35" s="136">
        <v>4453878</v>
      </c>
      <c r="H35" s="756">
        <f>ROUND((I35-G35)/G35,4)</f>
        <v>0.36120000000000002</v>
      </c>
      <c r="I35" s="136">
        <v>6062525.1250055488</v>
      </c>
      <c r="J35" s="756">
        <f>ROUND((K35-I35)/I35,4)</f>
        <v>1.4200000000000001E-2</v>
      </c>
      <c r="K35" s="136">
        <v>6148915.5516105723</v>
      </c>
      <c r="L35" s="756">
        <f>ROUND((M35-K35)/K35,4)</f>
        <v>-0.1938</v>
      </c>
      <c r="M35" s="136">
        <f>M36/M32</f>
        <v>4956963.8146209773</v>
      </c>
      <c r="N35" s="756">
        <f>ROUND((O35-M35)/M35,4)</f>
        <v>4.3900000000000002E-2</v>
      </c>
      <c r="O35" s="136">
        <f>O36/O32</f>
        <v>5174804.070890245</v>
      </c>
      <c r="P35" s="134"/>
      <c r="Q35"/>
    </row>
    <row r="36" spans="1:17">
      <c r="A36" s="126">
        <f t="shared" si="0"/>
        <v>23</v>
      </c>
      <c r="B36" s="182" t="s">
        <v>753</v>
      </c>
      <c r="C36" s="185">
        <v>2332011</v>
      </c>
      <c r="D36" s="756">
        <f>ROUND((E36-C36)/C36,4)</f>
        <v>7.2599999999999998E-2</v>
      </c>
      <c r="E36" s="185">
        <v>2501338</v>
      </c>
      <c r="F36" s="756">
        <f>ROUND((G36-E36)/E36,4)</f>
        <v>-0.13730000000000001</v>
      </c>
      <c r="G36" s="185">
        <v>2157841</v>
      </c>
      <c r="H36" s="756">
        <f>ROUND((I36-G36)/G36,4)</f>
        <v>0.3775</v>
      </c>
      <c r="I36" s="185">
        <v>2972341.1200000118</v>
      </c>
      <c r="J36" s="756">
        <f>ROUND((K36-I36)/I36,4)</f>
        <v>-5.5399999999999998E-2</v>
      </c>
      <c r="K36" s="185">
        <v>2807745.5500000049</v>
      </c>
      <c r="L36" s="756">
        <f>ROUND((M36-K36)/K36,4)</f>
        <v>-0.2545</v>
      </c>
      <c r="M36" s="185">
        <f>'[12]O&amp;M Comparison'!$C$7</f>
        <v>2093177.1099999999</v>
      </c>
      <c r="N36" s="756">
        <f>ROUND((O36-M36)/M36,4)</f>
        <v>1.04E-2</v>
      </c>
      <c r="O36" s="185">
        <f>'[12]O&amp;M Comparison'!$D$7</f>
        <v>2114994.1718135523</v>
      </c>
      <c r="P36" s="134"/>
      <c r="Q36"/>
    </row>
    <row r="37" spans="1:17">
      <c r="A37" s="126">
        <f t="shared" si="0"/>
        <v>24</v>
      </c>
      <c r="B37" s="182" t="s">
        <v>812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19"/>
      <c r="Q37"/>
    </row>
    <row r="38" spans="1:17">
      <c r="A38" s="126">
        <f t="shared" si="0"/>
        <v>25</v>
      </c>
      <c r="B38" s="117" t="s">
        <v>813</v>
      </c>
      <c r="C38" s="573"/>
      <c r="D38" s="130"/>
      <c r="E38" s="573"/>
      <c r="F38" s="130"/>
      <c r="G38" s="573"/>
      <c r="H38" s="130"/>
      <c r="I38" s="573"/>
      <c r="J38" s="130"/>
      <c r="K38" s="573"/>
      <c r="L38" s="130"/>
      <c r="M38" s="130"/>
      <c r="N38" s="130"/>
      <c r="O38" s="130"/>
      <c r="P38" s="119"/>
      <c r="Q38"/>
    </row>
    <row r="39" spans="1:17">
      <c r="A39" s="126">
        <f t="shared" si="0"/>
        <v>26</v>
      </c>
      <c r="B39" s="182" t="s">
        <v>814</v>
      </c>
      <c r="C39" s="186">
        <f>ROUND((C36/C35),5)</f>
        <v>0.50729000000000002</v>
      </c>
      <c r="D39" s="130"/>
      <c r="E39" s="186">
        <f>ROUND((E36/E35),5)</f>
        <v>0.50649999999999995</v>
      </c>
      <c r="F39" s="130"/>
      <c r="G39" s="186">
        <f>ROUND((G36/G35),5)</f>
        <v>0.48448999999999998</v>
      </c>
      <c r="H39" s="130"/>
      <c r="I39" s="186">
        <f>ROUND((I36/I35),5)</f>
        <v>0.49027999999999999</v>
      </c>
      <c r="J39" s="130"/>
      <c r="K39" s="186">
        <f>ROUND((K36/K35),5)</f>
        <v>0.45662000000000003</v>
      </c>
      <c r="L39" s="130"/>
      <c r="M39" s="186">
        <f>ROUND((M36/M35),5)</f>
        <v>0.42226999999999998</v>
      </c>
      <c r="N39" s="130"/>
      <c r="O39" s="186">
        <f>ROUND((O36/O35),5)</f>
        <v>0.40871000000000002</v>
      </c>
      <c r="P39" s="119"/>
      <c r="Q39"/>
    </row>
    <row r="40" spans="1:17">
      <c r="A40" s="126">
        <f t="shared" si="0"/>
        <v>27</v>
      </c>
      <c r="B40" s="11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19"/>
      <c r="Q40"/>
    </row>
    <row r="41" spans="1:17">
      <c r="A41" s="126">
        <f t="shared" si="0"/>
        <v>28</v>
      </c>
      <c r="B41" s="17" t="s">
        <v>815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19"/>
      <c r="Q41"/>
    </row>
    <row r="42" spans="1:17">
      <c r="A42" s="126">
        <f t="shared" si="0"/>
        <v>29</v>
      </c>
      <c r="B42" s="182" t="s">
        <v>648</v>
      </c>
      <c r="C42" s="136">
        <v>950698</v>
      </c>
      <c r="D42" s="756">
        <f>ROUND((E42-C42)/C42,4)</f>
        <v>-1.46E-2</v>
      </c>
      <c r="E42" s="136">
        <v>936794</v>
      </c>
      <c r="F42" s="756">
        <f>ROUND((G42-E42)/E42,4)</f>
        <v>-5.0700000000000002E-2</v>
      </c>
      <c r="G42" s="136">
        <v>889257</v>
      </c>
      <c r="H42" s="756">
        <f>ROUND((I42-G42)/G42,4)</f>
        <v>-5.21E-2</v>
      </c>
      <c r="I42" s="136">
        <v>842967.71</v>
      </c>
      <c r="J42" s="756">
        <f>ROUND((K42-I42)/I42,4)</f>
        <v>0.3266</v>
      </c>
      <c r="K42" s="136">
        <v>1118267.5799999991</v>
      </c>
      <c r="L42" s="756">
        <f>ROUND((M42-K42)/K42,4)</f>
        <v>-0.17929999999999999</v>
      </c>
      <c r="M42" s="136">
        <f>M43/M32</f>
        <v>917764.13195348927</v>
      </c>
      <c r="N42" s="756">
        <f>ROUND((O42-M42)/M42,4)</f>
        <v>7.2300000000000003E-2</v>
      </c>
      <c r="O42" s="136">
        <f>O43/O32</f>
        <v>984144.93628244952</v>
      </c>
      <c r="P42" s="134"/>
      <c r="Q42"/>
    </row>
    <row r="43" spans="1:17">
      <c r="A43" s="126">
        <f t="shared" si="0"/>
        <v>30</v>
      </c>
      <c r="B43" s="182" t="s">
        <v>1124</v>
      </c>
      <c r="C43" s="185">
        <v>357768</v>
      </c>
      <c r="D43" s="756">
        <f>ROUND((E43-C43)/C43,4)</f>
        <v>6.3100000000000003E-2</v>
      </c>
      <c r="E43" s="185">
        <v>380339</v>
      </c>
      <c r="F43" s="756">
        <f>ROUND((G43-E43)/E43,4)</f>
        <v>-0.1105</v>
      </c>
      <c r="G43" s="185">
        <v>338313</v>
      </c>
      <c r="H43" s="756">
        <f>ROUND((I43-G43)/G43,4)</f>
        <v>-9.7000000000000003E-3</v>
      </c>
      <c r="I43" s="185">
        <v>335033.08</v>
      </c>
      <c r="J43" s="756">
        <f>ROUND((K43-I43)/I43,4)</f>
        <v>8.0000000000000004E-4</v>
      </c>
      <c r="K43" s="185">
        <v>335294.49000000005</v>
      </c>
      <c r="L43" s="756">
        <f>ROUND((M43-K43)/K43,4)</f>
        <v>0.15579999999999999</v>
      </c>
      <c r="M43" s="136">
        <f>G.1!D31</f>
        <v>387544.25999999989</v>
      </c>
      <c r="N43" s="756">
        <f>ROUND((O43-M43)/M43,4)</f>
        <v>3.7900000000000003E-2</v>
      </c>
      <c r="O43" s="136">
        <f>G.1!L31</f>
        <v>402229.87690799998</v>
      </c>
      <c r="P43" s="134"/>
      <c r="Q43"/>
    </row>
    <row r="44" spans="1:17">
      <c r="A44" s="126">
        <f t="shared" si="0"/>
        <v>31</v>
      </c>
      <c r="B44" s="182" t="s">
        <v>645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19"/>
      <c r="Q44"/>
    </row>
    <row r="45" spans="1:17">
      <c r="A45" s="126">
        <f t="shared" si="0"/>
        <v>32</v>
      </c>
      <c r="B45" s="182" t="s">
        <v>646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19"/>
      <c r="Q45"/>
    </row>
    <row r="46" spans="1:17">
      <c r="A46" s="126">
        <f t="shared" si="0"/>
        <v>33</v>
      </c>
      <c r="B46" s="117" t="s">
        <v>650</v>
      </c>
      <c r="C46" s="186">
        <f>ROUND((C43/C42),5)</f>
        <v>0.37631999999999999</v>
      </c>
      <c r="D46" s="130"/>
      <c r="E46" s="186">
        <f>ROUND((E43/E42),5)</f>
        <v>0.40600000000000003</v>
      </c>
      <c r="F46" s="186"/>
      <c r="G46" s="186">
        <f>ROUND((G43/G42),5)</f>
        <v>0.38044</v>
      </c>
      <c r="H46" s="130"/>
      <c r="I46" s="186">
        <f>ROUND((I43/I42),5)</f>
        <v>0.39744000000000002</v>
      </c>
      <c r="J46" s="130"/>
      <c r="K46" s="186">
        <f>ROUND((K43/K42),5)</f>
        <v>0.29982999999999999</v>
      </c>
      <c r="L46" s="130"/>
      <c r="M46" s="186">
        <f>ROUND((M43/M42),5)</f>
        <v>0.42226999999999998</v>
      </c>
      <c r="N46" s="130"/>
      <c r="O46" s="186">
        <f>ROUND((O43/O42),5)</f>
        <v>0.40871000000000002</v>
      </c>
      <c r="P46" s="119"/>
      <c r="Q46"/>
    </row>
    <row r="47" spans="1:17">
      <c r="A47" s="126">
        <f t="shared" si="0"/>
        <v>34</v>
      </c>
      <c r="B47" s="11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19"/>
      <c r="Q47"/>
    </row>
    <row r="48" spans="1:17">
      <c r="A48" s="126">
        <f t="shared" si="0"/>
        <v>35</v>
      </c>
      <c r="B48" s="61" t="s">
        <v>1179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19"/>
      <c r="Q48" s="771"/>
    </row>
    <row r="49" spans="1:19">
      <c r="A49" s="126">
        <f t="shared" si="0"/>
        <v>36</v>
      </c>
      <c r="B49" s="182" t="s">
        <v>1180</v>
      </c>
      <c r="C49" s="130">
        <v>219</v>
      </c>
      <c r="D49" s="756">
        <f>ROUND((E49-C49)/C49,4)</f>
        <v>-3.6499999999999998E-2</v>
      </c>
      <c r="E49" s="130">
        <v>211</v>
      </c>
      <c r="F49" s="187">
        <f>ROUND((G49-E49)/E49,4)</f>
        <v>-9.4999999999999998E-3</v>
      </c>
      <c r="G49" s="130">
        <v>209</v>
      </c>
      <c r="H49" s="756">
        <f>ROUND((I49-G49)/G49,4)</f>
        <v>9.5999999999999992E-3</v>
      </c>
      <c r="I49" s="130">
        <v>211</v>
      </c>
      <c r="J49" s="756">
        <f>ROUND((K49-I49)/I49,4)</f>
        <v>1.9E-2</v>
      </c>
      <c r="K49" s="130">
        <v>215</v>
      </c>
      <c r="L49" s="756">
        <f>ROUND((M49-K49)/K49,4)</f>
        <v>1.4E-2</v>
      </c>
      <c r="M49" s="1191">
        <f>M50</f>
        <v>218</v>
      </c>
      <c r="N49" s="756">
        <f>ROUND((O49-M49)/M49,4)</f>
        <v>0</v>
      </c>
      <c r="O49" s="1191">
        <f>O50</f>
        <v>218</v>
      </c>
      <c r="P49" s="119"/>
      <c r="Q49" s="771"/>
    </row>
    <row r="50" spans="1:19">
      <c r="A50" s="126">
        <f t="shared" si="0"/>
        <v>37</v>
      </c>
      <c r="B50" s="182" t="s">
        <v>1181</v>
      </c>
      <c r="C50" s="187">
        <v>217</v>
      </c>
      <c r="D50" s="756">
        <f>ROUND((E50-C50)/C50,4)</f>
        <v>-4.6100000000000002E-2</v>
      </c>
      <c r="E50" s="187">
        <v>207</v>
      </c>
      <c r="F50" s="187">
        <f>ROUND((G50-E50)/E50,4)</f>
        <v>9.7000000000000003E-3</v>
      </c>
      <c r="G50" s="187">
        <v>209</v>
      </c>
      <c r="H50" s="756">
        <f>ROUND((I50-G50)/G50,4)</f>
        <v>1.9099999999999999E-2</v>
      </c>
      <c r="I50" s="187">
        <v>213</v>
      </c>
      <c r="J50" s="756">
        <f>ROUND((K50-I50)/I50,4)</f>
        <v>2.35E-2</v>
      </c>
      <c r="K50" s="187">
        <v>218</v>
      </c>
      <c r="L50" s="756">
        <f>ROUND((M50-K50)/K50,4)</f>
        <v>0</v>
      </c>
      <c r="M50" s="1191">
        <v>218</v>
      </c>
      <c r="N50" s="756">
        <f>ROUND((O50-M50)/M50,4)</f>
        <v>0</v>
      </c>
      <c r="O50" s="1191">
        <v>218</v>
      </c>
      <c r="P50" s="119"/>
      <c r="Q50"/>
    </row>
    <row r="51" spans="1:19">
      <c r="A51" s="119"/>
      <c r="B51" s="11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19"/>
      <c r="Q51"/>
    </row>
    <row r="52" spans="1:19">
      <c r="A52" s="119"/>
      <c r="B52" s="119"/>
      <c r="C52" s="130"/>
      <c r="D52" s="771"/>
      <c r="E52" s="130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/>
      <c r="R52" s="10"/>
    </row>
    <row r="53" spans="1:19">
      <c r="A53" s="119"/>
      <c r="B53" s="119"/>
      <c r="C53" s="119"/>
      <c r="D53" s="771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/>
      <c r="R53" s="10"/>
    </row>
    <row r="54" spans="1:19">
      <c r="A54" s="119"/>
      <c r="B54" s="873" t="s">
        <v>244</v>
      </c>
      <c r="C54" s="130"/>
      <c r="D54" s="130"/>
      <c r="E54" s="130"/>
      <c r="F54" s="130"/>
      <c r="G54" s="130"/>
      <c r="H54" s="130"/>
      <c r="I54" s="130"/>
      <c r="J54" s="119"/>
      <c r="K54" s="119"/>
      <c r="L54" s="119"/>
      <c r="M54" s="119"/>
      <c r="N54" s="119"/>
      <c r="O54" s="119"/>
      <c r="P54" s="119"/>
      <c r="Q54"/>
    </row>
    <row r="55" spans="1:19">
      <c r="A55" s="119"/>
      <c r="B55" s="873" t="s">
        <v>1461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/>
    </row>
    <row r="56" spans="1:19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/>
    </row>
    <row r="57" spans="1:19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/>
    </row>
    <row r="58" spans="1:19">
      <c r="A58" s="119"/>
      <c r="B58" s="119" t="s">
        <v>1257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/>
      <c r="R58" s="10"/>
      <c r="S58" s="10"/>
    </row>
    <row r="59" spans="1:19">
      <c r="A59" s="119"/>
      <c r="B59" s="873" t="s">
        <v>1346</v>
      </c>
      <c r="C59" s="130"/>
      <c r="D59" s="130"/>
      <c r="E59" s="130"/>
      <c r="F59" s="119"/>
      <c r="G59" s="771"/>
      <c r="H59" s="119"/>
      <c r="I59" s="119"/>
      <c r="J59" s="119"/>
      <c r="K59" s="119"/>
      <c r="L59" s="119"/>
      <c r="M59" s="771"/>
      <c r="N59" s="119"/>
      <c r="O59" s="119"/>
      <c r="P59" s="119"/>
      <c r="Q59"/>
      <c r="R59" s="10"/>
      <c r="S59" s="10"/>
    </row>
    <row r="60" spans="1:19">
      <c r="A60" s="119"/>
      <c r="B60" s="130" t="s">
        <v>1441</v>
      </c>
      <c r="C60" s="130"/>
      <c r="D60" s="119"/>
      <c r="E60" s="119"/>
      <c r="F60" s="119"/>
      <c r="G60" s="771"/>
      <c r="H60" s="119"/>
      <c r="I60" s="119"/>
      <c r="J60" s="119"/>
      <c r="K60" s="119"/>
      <c r="L60" s="119"/>
      <c r="M60" s="119"/>
      <c r="N60" s="119"/>
      <c r="O60" s="119"/>
      <c r="P60" s="119"/>
      <c r="Q60"/>
    </row>
    <row r="61" spans="1:19">
      <c r="A61" s="119"/>
      <c r="B61" s="119" t="s">
        <v>1594</v>
      </c>
      <c r="C61" s="119"/>
      <c r="D61" s="119"/>
      <c r="E61" s="119"/>
      <c r="F61" s="119"/>
      <c r="G61" s="771"/>
      <c r="H61" s="119"/>
      <c r="I61" s="119"/>
      <c r="J61" s="119"/>
      <c r="K61" s="119"/>
      <c r="L61" s="119"/>
      <c r="M61" s="119"/>
      <c r="N61" s="119"/>
      <c r="O61" s="119"/>
      <c r="P61" s="119"/>
      <c r="Q61"/>
    </row>
    <row r="62" spans="1:19">
      <c r="A62" s="119"/>
      <c r="C62" s="119"/>
      <c r="D62" s="119"/>
      <c r="E62" s="119"/>
      <c r="F62" s="119"/>
      <c r="H62" s="119"/>
      <c r="I62" s="119"/>
      <c r="J62" s="119"/>
      <c r="K62" s="119"/>
      <c r="L62" s="119"/>
      <c r="M62" s="119"/>
      <c r="N62" s="119"/>
      <c r="O62" s="119"/>
      <c r="P62" s="119"/>
      <c r="Q62"/>
    </row>
    <row r="63" spans="1:19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/>
    </row>
    <row r="64" spans="1:19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/>
    </row>
    <row r="65" spans="1:17">
      <c r="A65" s="119"/>
      <c r="B65" s="119"/>
      <c r="C65" s="119"/>
      <c r="D65" s="119"/>
      <c r="E65" s="119"/>
      <c r="F65" s="119"/>
      <c r="G65" s="771"/>
      <c r="H65" s="119"/>
      <c r="I65" s="119"/>
      <c r="J65" s="119"/>
      <c r="K65" s="119"/>
      <c r="L65" s="119"/>
      <c r="M65" s="119"/>
      <c r="N65" s="119"/>
      <c r="O65" s="119"/>
      <c r="P65" s="119"/>
      <c r="Q65"/>
    </row>
    <row r="66" spans="1:17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/>
    </row>
    <row r="67" spans="1:17">
      <c r="A67" s="184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/>
    </row>
    <row r="68" spans="1:17">
      <c r="A68" s="184"/>
      <c r="B68" s="184"/>
      <c r="C68" s="119"/>
      <c r="D68" s="119"/>
      <c r="E68" s="119"/>
      <c r="F68" s="119"/>
      <c r="G68" s="188"/>
      <c r="H68" s="119"/>
      <c r="I68" s="188"/>
      <c r="J68" s="119"/>
      <c r="K68" s="188"/>
      <c r="L68" s="119"/>
      <c r="M68" s="188"/>
      <c r="N68" s="119"/>
      <c r="O68" s="188"/>
      <c r="P68" s="119"/>
      <c r="Q68"/>
    </row>
    <row r="69" spans="1:17">
      <c r="A69" s="119"/>
      <c r="B69" s="119"/>
      <c r="C69" s="119"/>
      <c r="D69" s="119"/>
      <c r="E69" s="119"/>
      <c r="F69" s="119"/>
      <c r="G69" s="189"/>
      <c r="H69" s="119"/>
      <c r="I69" s="119"/>
      <c r="J69" s="119"/>
      <c r="K69" s="119"/>
      <c r="L69" s="119"/>
      <c r="M69" s="119"/>
      <c r="N69" s="119"/>
      <c r="O69" s="119"/>
      <c r="P69" s="119"/>
      <c r="Q69"/>
    </row>
    <row r="70" spans="1:17">
      <c r="A70" s="184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/>
    </row>
    <row r="71" spans="1:17">
      <c r="A71" s="184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/>
    </row>
    <row r="72" spans="1:1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>
      <c r="G95" s="74"/>
      <c r="I95" s="74"/>
      <c r="K95" s="74"/>
      <c r="M95" s="74"/>
      <c r="O95" s="74"/>
      <c r="Q95" s="74"/>
    </row>
    <row r="96" spans="1:17">
      <c r="G96" s="74"/>
      <c r="I96" s="74"/>
      <c r="K96" s="74"/>
      <c r="M96" s="74"/>
      <c r="O96" s="74"/>
      <c r="Q96" s="74"/>
    </row>
    <row r="97" spans="7:17">
      <c r="G97" s="74"/>
      <c r="I97" s="74"/>
      <c r="K97" s="74"/>
      <c r="M97" s="74"/>
      <c r="O97" s="74"/>
      <c r="Q97" s="74"/>
    </row>
    <row r="98" spans="7:17">
      <c r="G98" s="74"/>
      <c r="I98" s="74"/>
      <c r="K98" s="74"/>
      <c r="M98" s="74"/>
      <c r="O98" s="74"/>
      <c r="Q98" s="74"/>
    </row>
    <row r="99" spans="7:17">
      <c r="G99" s="74"/>
      <c r="I99" s="74"/>
      <c r="K99" s="74"/>
      <c r="M99" s="74"/>
      <c r="O99" s="74"/>
      <c r="Q99" s="74"/>
    </row>
  </sheetData>
  <phoneticPr fontId="24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66"/>
  <sheetViews>
    <sheetView view="pageBreakPreview" zoomScale="60" zoomScaleNormal="90" workbookViewId="0">
      <selection activeCell="G39" sqref="G39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6" width="9.88671875" style="1" customWidth="1"/>
    <col min="7" max="7" width="14.88671875" style="1" bestFit="1" customWidth="1"/>
    <col min="8" max="8" width="6" style="1" bestFit="1" customWidth="1"/>
    <col min="9" max="9" width="11.88671875" style="1" customWidth="1"/>
    <col min="10" max="10" width="3.77734375" style="1" customWidth="1"/>
    <col min="11" max="11" width="15.77734375" style="1" customWidth="1"/>
    <col min="12" max="13" width="9.33203125" style="1" customWidth="1"/>
    <col min="14" max="14" width="8.6640625" style="1" customWidth="1"/>
    <col min="15" max="15" width="8" style="1" customWidth="1"/>
    <col min="16" max="16" width="10.77734375" style="1" customWidth="1"/>
    <col min="17" max="17" width="10.21875" style="1" customWidth="1"/>
    <col min="18" max="16384" width="8.44140625" style="1"/>
  </cols>
  <sheetData>
    <row r="1" spans="1:15">
      <c r="A1" s="235" t="str">
        <f>'Table of Contents'!A1:C1</f>
        <v>Atmos Energy Corporation, Kentucky/Mid-States Division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/>
      <c r="O1"/>
    </row>
    <row r="2" spans="1:15">
      <c r="A2" s="235" t="str">
        <f>'Table of Contents'!A2:C2</f>
        <v>Kentucky Jurisdiction Case No. 2015-00343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/>
      <c r="O2"/>
    </row>
    <row r="3" spans="1:15">
      <c r="A3" s="116" t="s">
        <v>508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/>
      <c r="O3"/>
    </row>
    <row r="4" spans="1:15">
      <c r="A4" s="116" t="str">
        <f>'Table of Contents'!A3:C3</f>
        <v>Base Period: Twelve Months Ended February 29, 2016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/>
      <c r="O4"/>
    </row>
    <row r="5" spans="1:15">
      <c r="A5" s="116" t="str">
        <f>'Table of Contents'!A4:C4</f>
        <v>Forecasted Test Period: Twelve Months Ended May 31, 2017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/>
      <c r="O5"/>
    </row>
    <row r="6" spans="1:15">
      <c r="A6" s="237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/>
      <c r="O6"/>
    </row>
    <row r="7" spans="1:15">
      <c r="A7" s="117" t="s">
        <v>203</v>
      </c>
      <c r="B7" s="119"/>
      <c r="C7" s="119"/>
      <c r="D7" s="119"/>
      <c r="E7" s="119"/>
      <c r="F7" s="119"/>
      <c r="G7" s="119"/>
      <c r="H7" s="119"/>
      <c r="I7" s="119"/>
      <c r="J7" s="119"/>
      <c r="K7" s="491" t="s">
        <v>1505</v>
      </c>
      <c r="L7" s="119"/>
      <c r="M7" s="119"/>
      <c r="N7"/>
      <c r="O7"/>
    </row>
    <row r="8" spans="1:15">
      <c r="A8" s="117" t="s">
        <v>1142</v>
      </c>
      <c r="B8" s="119"/>
      <c r="C8" s="119"/>
      <c r="D8" s="119"/>
      <c r="E8" s="119"/>
      <c r="F8" s="119"/>
      <c r="G8" s="119"/>
      <c r="H8" s="119"/>
      <c r="I8" s="119"/>
      <c r="J8" s="119"/>
      <c r="K8" s="736" t="s">
        <v>641</v>
      </c>
      <c r="L8" s="119"/>
      <c r="M8" s="119"/>
      <c r="N8"/>
      <c r="O8"/>
    </row>
    <row r="9" spans="1:15">
      <c r="A9" s="118" t="s">
        <v>375</v>
      </c>
      <c r="B9" s="124"/>
      <c r="C9" s="124"/>
      <c r="D9" s="124"/>
      <c r="E9" s="124"/>
      <c r="F9" s="124"/>
      <c r="G9" s="124"/>
      <c r="H9" s="124"/>
      <c r="I9" s="124"/>
      <c r="J9" s="124"/>
      <c r="K9" s="795" t="str">
        <f>F.1!$F$9</f>
        <v>Witness: Waller</v>
      </c>
      <c r="L9" s="120"/>
      <c r="M9" s="1071"/>
      <c r="N9"/>
      <c r="O9"/>
    </row>
    <row r="10" spans="1:15" ht="15.75">
      <c r="A10" s="119"/>
      <c r="B10" s="119"/>
      <c r="C10" s="158"/>
      <c r="D10" s="119"/>
      <c r="E10" s="119"/>
      <c r="F10" s="119"/>
      <c r="G10" s="119"/>
      <c r="H10" s="119"/>
      <c r="I10" s="119"/>
      <c r="J10" s="119"/>
      <c r="K10" s="119"/>
      <c r="L10" s="120"/>
      <c r="M10" s="120"/>
      <c r="N10"/>
      <c r="O10"/>
    </row>
    <row r="11" spans="1:15">
      <c r="A11" s="119"/>
      <c r="B11" s="119"/>
      <c r="C11" s="119"/>
      <c r="D11" s="119"/>
      <c r="E11" s="119"/>
      <c r="F11" s="119"/>
      <c r="G11" s="531" t="s">
        <v>333</v>
      </c>
      <c r="H11" s="120"/>
      <c r="I11" s="120"/>
      <c r="J11" s="120"/>
      <c r="K11" s="531" t="s">
        <v>334</v>
      </c>
      <c r="L11" s="120"/>
      <c r="M11" s="120"/>
      <c r="N11"/>
      <c r="O11"/>
    </row>
    <row r="12" spans="1:15">
      <c r="A12" s="127" t="s">
        <v>98</v>
      </c>
      <c r="B12" s="119"/>
      <c r="C12" s="119"/>
      <c r="D12" s="859"/>
      <c r="E12" s="859" t="s">
        <v>1261</v>
      </c>
      <c r="F12" s="859"/>
      <c r="G12" s="531" t="s">
        <v>107</v>
      </c>
      <c r="H12" s="120"/>
      <c r="I12" s="120"/>
      <c r="J12" s="120"/>
      <c r="K12" s="531" t="s">
        <v>107</v>
      </c>
      <c r="L12" s="119"/>
      <c r="M12" s="119"/>
      <c r="N12"/>
      <c r="O12"/>
    </row>
    <row r="13" spans="1:15">
      <c r="A13" s="128" t="s">
        <v>104</v>
      </c>
      <c r="B13" s="119"/>
      <c r="C13" s="128" t="s">
        <v>1004</v>
      </c>
      <c r="D13" s="531"/>
      <c r="E13" s="541" t="s">
        <v>1259</v>
      </c>
      <c r="F13" s="531"/>
      <c r="G13" s="128" t="s">
        <v>476</v>
      </c>
      <c r="H13" s="119"/>
      <c r="I13" s="128" t="s">
        <v>1006</v>
      </c>
      <c r="J13" s="119"/>
      <c r="K13" s="128" t="s">
        <v>476</v>
      </c>
      <c r="L13" s="119"/>
      <c r="M13" s="119"/>
      <c r="N13"/>
      <c r="O13"/>
    </row>
    <row r="14" spans="1:15">
      <c r="A14" s="119"/>
      <c r="B14" s="119"/>
      <c r="C14" s="119"/>
      <c r="D14" s="119"/>
      <c r="E14" s="119"/>
      <c r="F14" s="119"/>
      <c r="G14" s="127"/>
      <c r="H14" s="119"/>
      <c r="I14" s="127"/>
      <c r="J14" s="117"/>
      <c r="K14" s="127"/>
      <c r="L14" s="119"/>
      <c r="M14" s="119"/>
      <c r="N14"/>
      <c r="O14"/>
    </row>
    <row r="15" spans="1:15">
      <c r="A15" s="127" t="s">
        <v>376</v>
      </c>
      <c r="B15" s="119"/>
      <c r="C15" s="17" t="s">
        <v>1631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/>
      <c r="O15"/>
    </row>
    <row r="16" spans="1:15">
      <c r="A16" s="119"/>
      <c r="B16" s="119"/>
      <c r="C16" s="119"/>
      <c r="D16" s="119"/>
      <c r="E16" s="119"/>
      <c r="F16" s="119"/>
      <c r="G16" s="130"/>
      <c r="H16" s="119"/>
      <c r="I16" s="119"/>
      <c r="J16" s="119"/>
      <c r="K16" s="130"/>
      <c r="L16" s="119"/>
      <c r="M16" s="119"/>
      <c r="N16"/>
      <c r="O16"/>
    </row>
    <row r="17" spans="1:16">
      <c r="A17" s="127" t="s">
        <v>378</v>
      </c>
      <c r="B17" s="119"/>
      <c r="C17" s="17" t="s">
        <v>431</v>
      </c>
      <c r="D17" s="119"/>
      <c r="E17" s="119"/>
      <c r="F17" s="119"/>
      <c r="G17" s="577"/>
      <c r="H17" s="119"/>
      <c r="I17" s="119"/>
      <c r="J17" s="119"/>
      <c r="K17" s="130"/>
      <c r="L17" s="119"/>
      <c r="M17" s="119"/>
      <c r="N17"/>
      <c r="O17"/>
    </row>
    <row r="18" spans="1:16">
      <c r="A18" s="127" t="s">
        <v>380</v>
      </c>
      <c r="B18" s="119"/>
      <c r="C18" s="117" t="s">
        <v>1117</v>
      </c>
      <c r="D18" s="119"/>
      <c r="E18" s="119"/>
      <c r="F18" s="119"/>
      <c r="G18" s="752">
        <f>[30]G.3!$G$18</f>
        <v>2503302.46</v>
      </c>
      <c r="H18" s="130"/>
      <c r="I18" s="752">
        <f>K18-G18</f>
        <v>100132.09840000002</v>
      </c>
      <c r="J18" s="130"/>
      <c r="K18" s="752">
        <f>G18*1.04</f>
        <v>2603434.5584</v>
      </c>
      <c r="L18" s="78"/>
      <c r="M18" s="78"/>
      <c r="N18"/>
      <c r="O18" s="771"/>
      <c r="P18" s="771"/>
    </row>
    <row r="19" spans="1:16">
      <c r="A19" s="127" t="s">
        <v>381</v>
      </c>
      <c r="B19" s="119"/>
      <c r="C19" s="117" t="s">
        <v>1118</v>
      </c>
      <c r="D19" s="119"/>
      <c r="E19" s="119"/>
      <c r="F19" s="119"/>
      <c r="G19" s="136">
        <f>[30]G.3!$G$19</f>
        <v>7609109.4328147694</v>
      </c>
      <c r="H19" s="130"/>
      <c r="I19" s="138">
        <f>K19-G19</f>
        <v>304364.3773125913</v>
      </c>
      <c r="J19" s="130"/>
      <c r="K19" s="752">
        <f>G19*1.04</f>
        <v>7913473.8101273607</v>
      </c>
      <c r="L19" s="117"/>
      <c r="M19" s="117"/>
      <c r="N19"/>
      <c r="O19" s="856"/>
      <c r="P19" s="856"/>
    </row>
    <row r="20" spans="1:16">
      <c r="A20" s="127" t="s">
        <v>382</v>
      </c>
      <c r="B20" s="119"/>
      <c r="C20" s="117" t="s">
        <v>1119</v>
      </c>
      <c r="D20" s="119"/>
      <c r="E20" s="119"/>
      <c r="F20" s="119"/>
      <c r="G20" s="935">
        <f>SUM(G18:G19)</f>
        <v>10112411.89281477</v>
      </c>
      <c r="H20" s="130"/>
      <c r="I20" s="752">
        <f>SUM(I18:I19)</f>
        <v>404496.47571259132</v>
      </c>
      <c r="J20" s="130"/>
      <c r="K20" s="935">
        <f>SUM(K18:K19)</f>
        <v>10516908.36852736</v>
      </c>
      <c r="L20" s="119"/>
      <c r="N20"/>
      <c r="O20" s="856"/>
      <c r="P20" s="856"/>
    </row>
    <row r="21" spans="1:16">
      <c r="A21" s="119"/>
      <c r="B21" s="119"/>
      <c r="C21" s="119"/>
      <c r="D21" s="119"/>
      <c r="E21" s="119"/>
      <c r="F21" s="119"/>
      <c r="G21" s="136"/>
      <c r="H21" s="130"/>
      <c r="I21" s="136"/>
      <c r="J21" s="130"/>
      <c r="K21" s="136"/>
      <c r="L21" s="119"/>
      <c r="N21"/>
      <c r="O21" s="856"/>
      <c r="P21" s="856"/>
    </row>
    <row r="22" spans="1:16">
      <c r="A22" s="127" t="s">
        <v>383</v>
      </c>
      <c r="B22" s="119"/>
      <c r="C22" s="17" t="s">
        <v>633</v>
      </c>
      <c r="D22" s="771"/>
      <c r="E22" s="119" t="str">
        <f>[30]G.3!E22</f>
        <v>FY15</v>
      </c>
      <c r="F22" s="119" t="str">
        <f>[30]G.3!F22</f>
        <v>FY16</v>
      </c>
      <c r="G22" s="130"/>
      <c r="H22" s="130"/>
      <c r="I22" s="130"/>
      <c r="J22" s="130"/>
      <c r="K22" s="130"/>
      <c r="L22" s="119"/>
    </row>
    <row r="23" spans="1:16">
      <c r="A23" s="127" t="s">
        <v>384</v>
      </c>
      <c r="B23" s="119"/>
      <c r="C23" s="117" t="s">
        <v>1120</v>
      </c>
      <c r="D23" s="856"/>
      <c r="E23" s="78">
        <f>[30]G.3!E23</f>
        <v>0.08</v>
      </c>
      <c r="F23" s="78">
        <f>[30]G.3!F23</f>
        <v>7.3999999999999996E-2</v>
      </c>
      <c r="G23" s="752">
        <f>G$18*E23</f>
        <v>200264.19680000001</v>
      </c>
      <c r="H23" s="130"/>
      <c r="I23" s="752">
        <f>K23-G23</f>
        <v>-7610.0394784000237</v>
      </c>
      <c r="J23" s="130"/>
      <c r="K23" s="752">
        <f>K$18*F23</f>
        <v>192654.15732159998</v>
      </c>
      <c r="L23" s="119"/>
      <c r="O23" s="856"/>
      <c r="P23" s="856"/>
    </row>
    <row r="24" spans="1:16">
      <c r="A24" s="127" t="s">
        <v>386</v>
      </c>
      <c r="B24" s="119"/>
      <c r="C24" s="117" t="s">
        <v>1121</v>
      </c>
      <c r="D24" s="856"/>
      <c r="E24" s="78">
        <f>[30]G.3!E24</f>
        <v>0.28699999999999998</v>
      </c>
      <c r="F24" s="78">
        <f>[30]G.3!F24</f>
        <v>0.27750000000000002</v>
      </c>
      <c r="G24" s="138">
        <f>G$18*E24</f>
        <v>718447.8060199999</v>
      </c>
      <c r="H24" s="130"/>
      <c r="I24" s="138">
        <f>K24-G24</f>
        <v>4005.2839360001963</v>
      </c>
      <c r="J24" s="130"/>
      <c r="K24" s="138">
        <f>K$18*F24</f>
        <v>722453.0899560001</v>
      </c>
      <c r="L24" s="119"/>
      <c r="O24" s="856"/>
    </row>
    <row r="25" spans="1:16">
      <c r="A25" s="127" t="s">
        <v>387</v>
      </c>
      <c r="B25" s="119"/>
      <c r="C25" s="117" t="s">
        <v>1122</v>
      </c>
      <c r="D25" s="119"/>
      <c r="E25" s="119"/>
      <c r="F25" s="119"/>
      <c r="G25" s="752">
        <f>SUM(G23:G24)</f>
        <v>918712.00281999994</v>
      </c>
      <c r="H25" s="130"/>
      <c r="I25" s="752">
        <f>SUM(I23:I24)</f>
        <v>-3604.7555423998274</v>
      </c>
      <c r="J25" s="130"/>
      <c r="K25" s="752">
        <f>SUM(K23:K24)</f>
        <v>915107.24727760011</v>
      </c>
      <c r="L25" s="119"/>
      <c r="N25"/>
      <c r="O25"/>
    </row>
    <row r="26" spans="1:16">
      <c r="A26" s="119"/>
      <c r="B26" s="119"/>
      <c r="C26" s="119"/>
      <c r="D26" s="119"/>
      <c r="E26" s="119"/>
      <c r="F26" s="119"/>
      <c r="G26" s="130"/>
      <c r="H26" s="130"/>
      <c r="I26" s="130"/>
      <c r="J26" s="130"/>
      <c r="K26" s="130"/>
      <c r="L26" s="119"/>
      <c r="N26"/>
      <c r="O26"/>
    </row>
    <row r="27" spans="1:16">
      <c r="A27" s="127" t="s">
        <v>388</v>
      </c>
      <c r="B27" s="119"/>
      <c r="C27" s="17" t="s">
        <v>815</v>
      </c>
      <c r="D27" s="119"/>
      <c r="E27" s="119"/>
      <c r="F27" s="119"/>
      <c r="G27" s="136"/>
      <c r="H27" s="573"/>
      <c r="I27" s="136"/>
      <c r="J27" s="130"/>
      <c r="K27" s="136" t="s">
        <v>332</v>
      </c>
      <c r="L27" s="119"/>
      <c r="M27" s="856"/>
      <c r="N27"/>
      <c r="O27"/>
    </row>
    <row r="28" spans="1:16">
      <c r="A28" s="127" t="s">
        <v>389</v>
      </c>
      <c r="B28" s="119"/>
      <c r="C28" s="117" t="s">
        <v>554</v>
      </c>
      <c r="D28" s="119"/>
      <c r="E28" s="119"/>
      <c r="F28" s="119"/>
      <c r="G28" s="752">
        <f>[30]G.3!$G$28</f>
        <v>220651.12</v>
      </c>
      <c r="H28" s="573"/>
      <c r="I28" s="752">
        <f>K28-G28</f>
        <v>8826.0448000000033</v>
      </c>
      <c r="J28" s="130"/>
      <c r="K28" s="752">
        <f>[30]G.3!K28</f>
        <v>229477.1648</v>
      </c>
      <c r="L28" s="119"/>
      <c r="M28" s="856"/>
      <c r="N28"/>
      <c r="O28"/>
    </row>
    <row r="29" spans="1:16">
      <c r="A29" s="127" t="s">
        <v>55</v>
      </c>
      <c r="B29" s="119"/>
      <c r="C29" s="117" t="s">
        <v>1123</v>
      </c>
      <c r="D29" s="119"/>
      <c r="E29" s="119"/>
      <c r="F29" s="119"/>
      <c r="G29" s="1121">
        <f>[30]G.3!$G$29</f>
        <v>210</v>
      </c>
      <c r="H29" s="130"/>
      <c r="I29" s="136">
        <f>K29-G29</f>
        <v>8.4000000000000057</v>
      </c>
      <c r="J29" s="130"/>
      <c r="K29" s="752">
        <f>[30]G.3!K29</f>
        <v>218.4</v>
      </c>
      <c r="L29" s="119"/>
      <c r="M29" s="119"/>
      <c r="N29"/>
      <c r="O29"/>
    </row>
    <row r="30" spans="1:16">
      <c r="A30" s="127" t="s">
        <v>56</v>
      </c>
      <c r="B30" s="119"/>
      <c r="C30" s="117" t="s">
        <v>698</v>
      </c>
      <c r="D30" s="119"/>
      <c r="E30" s="119"/>
      <c r="F30" s="119"/>
      <c r="G30" s="1121">
        <f>[30]G.3!$G$30</f>
        <v>535.5</v>
      </c>
      <c r="H30" s="130"/>
      <c r="I30" s="576">
        <f>K30-G30</f>
        <v>21.420000000000073</v>
      </c>
      <c r="J30" s="130"/>
      <c r="K30" s="752">
        <f>[30]G.3!K30</f>
        <v>556.92000000000007</v>
      </c>
      <c r="L30" s="119"/>
      <c r="M30" s="119"/>
      <c r="N30"/>
      <c r="O30"/>
    </row>
    <row r="31" spans="1:16">
      <c r="A31" s="127" t="s">
        <v>57</v>
      </c>
      <c r="B31" s="119"/>
      <c r="C31" s="117" t="s">
        <v>699</v>
      </c>
      <c r="D31" s="119"/>
      <c r="E31" s="119"/>
      <c r="F31" s="119"/>
      <c r="G31" s="935">
        <f>SUM(G28:G30)</f>
        <v>221396.62</v>
      </c>
      <c r="H31" s="119"/>
      <c r="I31" s="752">
        <f>SUM(I28:I30)</f>
        <v>8855.864800000003</v>
      </c>
      <c r="J31" s="119"/>
      <c r="K31" s="935">
        <f>SUM(K28:K30)</f>
        <v>230252.48480000001</v>
      </c>
      <c r="L31" s="119"/>
      <c r="M31" s="119"/>
      <c r="N31"/>
      <c r="O31"/>
    </row>
    <row r="32" spans="1:16">
      <c r="A32" s="119"/>
      <c r="B32" s="119"/>
      <c r="C32" s="119"/>
      <c r="D32" s="119"/>
      <c r="E32" s="119"/>
      <c r="F32" s="119"/>
      <c r="G32" s="136"/>
      <c r="H32" s="119"/>
      <c r="I32" s="136"/>
      <c r="J32" s="119"/>
      <c r="K32" s="136" t="s">
        <v>332</v>
      </c>
      <c r="L32" s="119"/>
      <c r="M32" s="119"/>
      <c r="N32"/>
      <c r="O32"/>
    </row>
    <row r="33" spans="1:15" ht="15.75" thickBot="1">
      <c r="A33" s="127" t="s">
        <v>58</v>
      </c>
      <c r="B33" s="119"/>
      <c r="C33" s="117" t="s">
        <v>700</v>
      </c>
      <c r="D33" s="119"/>
      <c r="E33" s="119"/>
      <c r="F33" s="119"/>
      <c r="G33" s="937">
        <f>(+G20+G25+G31)</f>
        <v>11252520.51563477</v>
      </c>
      <c r="H33" s="119"/>
      <c r="I33" s="937">
        <f>(+I20+I25+I31)</f>
        <v>409747.58497019147</v>
      </c>
      <c r="J33" s="119"/>
      <c r="K33" s="937">
        <f>(+K20+K25+K31)</f>
        <v>11662268.100604961</v>
      </c>
      <c r="L33" s="119"/>
      <c r="M33" s="119"/>
      <c r="N33"/>
      <c r="O33"/>
    </row>
    <row r="34" spans="1:15" ht="15.75" thickTop="1">
      <c r="A34" s="119"/>
      <c r="B34" s="119"/>
      <c r="C34" s="119"/>
      <c r="D34" s="119"/>
      <c r="E34" s="119"/>
      <c r="F34" s="119"/>
      <c r="G34" s="134"/>
      <c r="H34" s="119"/>
      <c r="I34" s="134"/>
      <c r="J34" s="119"/>
      <c r="K34" s="190" t="s">
        <v>332</v>
      </c>
      <c r="L34" s="119"/>
      <c r="M34" s="119"/>
      <c r="N34"/>
      <c r="O34"/>
    </row>
    <row r="35" spans="1:15">
      <c r="A35" t="s">
        <v>851</v>
      </c>
      <c r="B35" s="117"/>
      <c r="C35" s="119"/>
      <c r="D35" s="119"/>
      <c r="E35" s="119"/>
      <c r="F35" s="119"/>
      <c r="G35" s="134"/>
      <c r="H35" s="119"/>
      <c r="I35" s="134"/>
      <c r="J35" s="119"/>
      <c r="K35" s="134"/>
      <c r="L35" s="119"/>
      <c r="M35" s="119"/>
      <c r="N35"/>
      <c r="O35"/>
    </row>
    <row r="36" spans="1:15">
      <c r="B36" s="117"/>
      <c r="C36" s="119"/>
      <c r="D36" s="119"/>
      <c r="E36" s="119"/>
      <c r="F36" s="119"/>
      <c r="G36" s="134"/>
      <c r="H36" s="119"/>
      <c r="I36" s="134"/>
      <c r="J36" s="119"/>
      <c r="K36" s="134"/>
      <c r="L36" s="119"/>
      <c r="M36" s="119"/>
      <c r="N36"/>
      <c r="O36"/>
    </row>
    <row r="37" spans="1:15">
      <c r="A37" s="861" t="s">
        <v>403</v>
      </c>
      <c r="C37" s="117"/>
      <c r="D37" s="119"/>
      <c r="E37" s="771"/>
      <c r="F37" s="119"/>
      <c r="G37" s="136"/>
      <c r="H37" s="119"/>
      <c r="I37" s="136"/>
      <c r="J37" s="119"/>
      <c r="K37" s="136"/>
      <c r="L37" s="119"/>
      <c r="M37" s="119"/>
      <c r="N37"/>
      <c r="O37"/>
    </row>
    <row r="38" spans="1:15">
      <c r="A38" s="119" t="s">
        <v>1352</v>
      </c>
      <c r="C38" s="119"/>
      <c r="D38" s="119"/>
      <c r="E38" s="119"/>
      <c r="F38" s="119"/>
      <c r="G38" s="134"/>
      <c r="H38" s="119"/>
      <c r="I38" s="134"/>
      <c r="J38" s="119"/>
      <c r="K38" s="134"/>
      <c r="L38" s="119"/>
      <c r="M38" s="119"/>
      <c r="N38"/>
      <c r="O38"/>
    </row>
    <row r="39" spans="1:15">
      <c r="A39" s="119" t="s">
        <v>405</v>
      </c>
      <c r="C39" s="119"/>
      <c r="D39" s="119"/>
      <c r="E39" s="119"/>
      <c r="F39" s="119"/>
      <c r="G39" s="134"/>
      <c r="H39" s="119"/>
      <c r="I39" s="134"/>
      <c r="J39" s="119"/>
      <c r="K39" s="134"/>
      <c r="L39" s="119"/>
      <c r="M39" s="119"/>
      <c r="N39"/>
      <c r="O39"/>
    </row>
    <row r="40" spans="1:15">
      <c r="A40" s="119" t="s">
        <v>477</v>
      </c>
      <c r="C40" s="119"/>
      <c r="D40" s="119"/>
      <c r="E40" s="119"/>
      <c r="F40" s="119"/>
      <c r="G40" s="119"/>
      <c r="H40" s="78"/>
      <c r="I40" s="119"/>
      <c r="J40" s="119"/>
      <c r="K40" s="119"/>
      <c r="L40" s="119"/>
      <c r="M40" s="119"/>
      <c r="N40"/>
      <c r="O40"/>
    </row>
    <row r="41" spans="1:15">
      <c r="A41" s="119" t="s">
        <v>323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/>
      <c r="O41"/>
    </row>
    <row r="42" spans="1:15">
      <c r="A42" s="119" t="s">
        <v>404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/>
      <c r="O42"/>
    </row>
    <row r="43" spans="1:15">
      <c r="A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/>
      <c r="O43"/>
    </row>
    <row r="44" spans="1:15"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/>
      <c r="O44"/>
    </row>
    <row r="45" spans="1:15">
      <c r="A45" s="313" t="s">
        <v>406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/>
      <c r="O45"/>
    </row>
    <row r="46" spans="1: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 t="s">
        <v>1258</v>
      </c>
      <c r="B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 s="936" t="s">
        <v>1600</v>
      </c>
      <c r="B49" s="106"/>
      <c r="C49" s="107"/>
      <c r="D49" s="106"/>
      <c r="E49" s="106"/>
      <c r="F49" s="106"/>
      <c r="G49" s="106"/>
      <c r="H49"/>
      <c r="I49"/>
      <c r="J49"/>
      <c r="K49" s="771"/>
      <c r="L49"/>
      <c r="M49"/>
      <c r="N49"/>
      <c r="O49"/>
    </row>
    <row r="50" spans="1:15">
      <c r="A50"/>
      <c r="B50"/>
      <c r="C50" s="855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</sheetData>
  <phoneticPr fontId="24" type="noConversion"/>
  <printOptions horizontalCentered="1"/>
  <pageMargins left="0.5" right="0.5" top="0.75" bottom="0.52" header="0.25" footer="0.25"/>
  <pageSetup scale="76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60" zoomScaleNormal="100" workbookViewId="0">
      <selection activeCell="G39" sqref="G39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56" t="str">
        <f>'Table of Contents'!A1:C1</f>
        <v>Atmos Energy Corporation, Kentucky/Mid-States Division</v>
      </c>
      <c r="B1" s="1256"/>
      <c r="C1" s="1256"/>
      <c r="D1" s="1256"/>
      <c r="E1" s="1256"/>
    </row>
    <row r="2" spans="1:7">
      <c r="A2" s="1256" t="str">
        <f>'Table of Contents'!A2:C2</f>
        <v>Kentucky Jurisdiction Case No. 2015-00343</v>
      </c>
      <c r="B2" s="1256"/>
      <c r="C2" s="1256"/>
      <c r="D2" s="1256"/>
      <c r="E2" s="1256"/>
    </row>
    <row r="3" spans="1:7">
      <c r="A3" s="1256" t="s">
        <v>627</v>
      </c>
      <c r="B3" s="1256"/>
      <c r="C3" s="1256"/>
      <c r="D3" s="1256"/>
      <c r="E3" s="1256"/>
    </row>
    <row r="4" spans="1:7">
      <c r="A4" s="1256" t="str">
        <f>'Table of Contents'!A3:C3</f>
        <v>Base Period: Twelve Months Ended February 29, 2016</v>
      </c>
      <c r="B4" s="1256"/>
      <c r="C4" s="1256"/>
      <c r="D4" s="1256"/>
      <c r="E4" s="1256"/>
    </row>
    <row r="5" spans="1:7">
      <c r="A5" s="1256" t="str">
        <f>'Table of Contents'!A4:C4</f>
        <v>Forecasted Test Period: Twelve Months Ended May 31, 2017</v>
      </c>
      <c r="B5" s="1256"/>
      <c r="C5" s="1256"/>
      <c r="D5" s="1256"/>
      <c r="E5" s="1256"/>
    </row>
    <row r="6" spans="1:7">
      <c r="A6" s="232"/>
      <c r="B6" s="232"/>
      <c r="C6" s="232"/>
      <c r="D6" s="232"/>
      <c r="E6" s="232"/>
      <c r="G6" s="1060"/>
    </row>
    <row r="8" spans="1:7">
      <c r="A8" s="4" t="s">
        <v>203</v>
      </c>
      <c r="E8" s="491" t="s">
        <v>1506</v>
      </c>
    </row>
    <row r="9" spans="1:7">
      <c r="A9" s="95" t="s">
        <v>631</v>
      </c>
      <c r="E9" s="648" t="s">
        <v>36</v>
      </c>
    </row>
    <row r="10" spans="1:7">
      <c r="A10" s="5" t="s">
        <v>440</v>
      </c>
      <c r="B10" s="6"/>
      <c r="C10" s="6"/>
      <c r="D10" s="6"/>
      <c r="E10" s="726" t="s">
        <v>1349</v>
      </c>
    </row>
    <row r="12" spans="1:7" ht="15.75">
      <c r="D12" s="378" t="s">
        <v>1148</v>
      </c>
      <c r="E12" s="378" t="s">
        <v>133</v>
      </c>
    </row>
    <row r="13" spans="1:7">
      <c r="D13" s="2" t="s">
        <v>912</v>
      </c>
      <c r="E13" s="2" t="s">
        <v>912</v>
      </c>
    </row>
    <row r="14" spans="1:7">
      <c r="A14" s="2" t="s">
        <v>98</v>
      </c>
      <c r="D14" s="2" t="s">
        <v>913</v>
      </c>
      <c r="E14" s="2" t="s">
        <v>913</v>
      </c>
    </row>
    <row r="15" spans="1:7">
      <c r="A15" s="44" t="s">
        <v>104</v>
      </c>
      <c r="B15" s="553" t="s">
        <v>1004</v>
      </c>
      <c r="C15" s="45"/>
      <c r="D15" s="44" t="s">
        <v>130</v>
      </c>
      <c r="E15" s="44" t="s">
        <v>130</v>
      </c>
    </row>
    <row r="17" spans="1:7">
      <c r="A17" s="2" t="s">
        <v>376</v>
      </c>
      <c r="B17" s="4" t="s">
        <v>755</v>
      </c>
      <c r="D17" s="28">
        <v>1</v>
      </c>
      <c r="E17" s="28">
        <v>1</v>
      </c>
    </row>
    <row r="19" spans="1:7">
      <c r="A19" s="2" t="s">
        <v>378</v>
      </c>
      <c r="B19" s="4" t="s">
        <v>914</v>
      </c>
      <c r="C19" s="119"/>
      <c r="D19" s="1192">
        <v>5.0000000000000001E-3</v>
      </c>
      <c r="E19" s="1192">
        <v>5.0000000000000001E-3</v>
      </c>
    </row>
    <row r="20" spans="1:7">
      <c r="C20" s="119"/>
      <c r="D20" s="119"/>
      <c r="E20" s="119"/>
    </row>
    <row r="21" spans="1:7">
      <c r="A21" s="2" t="s">
        <v>380</v>
      </c>
      <c r="B21" s="4" t="s">
        <v>915</v>
      </c>
      <c r="C21" s="119"/>
      <c r="D21" s="1193">
        <f>[31]Sheet1!$D$19</f>
        <v>1.952E-3</v>
      </c>
      <c r="E21" s="1193">
        <f>[31]Sheet1!$D$18</f>
        <v>1.9009999999999999E-3</v>
      </c>
      <c r="G21" s="1060"/>
    </row>
    <row r="22" spans="1:7">
      <c r="C22" s="119"/>
      <c r="D22" s="119"/>
      <c r="E22" s="119"/>
    </row>
    <row r="23" spans="1:7">
      <c r="A23" s="2" t="s">
        <v>381</v>
      </c>
      <c r="B23" s="4" t="s">
        <v>916</v>
      </c>
      <c r="C23" s="119"/>
      <c r="D23" s="1194">
        <f>D17-D19-D21</f>
        <v>0.99304800000000004</v>
      </c>
      <c r="E23" s="1194">
        <f>E17-E19-E21</f>
        <v>0.99309899999999995</v>
      </c>
    </row>
    <row r="24" spans="1:7">
      <c r="C24" s="119"/>
      <c r="D24" s="119"/>
      <c r="E24" s="119"/>
    </row>
    <row r="25" spans="1:7">
      <c r="A25" s="2" t="s">
        <v>382</v>
      </c>
      <c r="B25" s="4" t="s">
        <v>259</v>
      </c>
      <c r="C25" s="132">
        <v>0.06</v>
      </c>
      <c r="D25" s="1195">
        <f>ROUND(D23*C25,8)</f>
        <v>5.9582879999999998E-2</v>
      </c>
      <c r="E25" s="1195">
        <f>ROUND(E23*C25,8)</f>
        <v>5.9585939999999997E-2</v>
      </c>
    </row>
    <row r="26" spans="1:7">
      <c r="C26" s="119"/>
      <c r="D26" s="119"/>
      <c r="E26" s="119"/>
    </row>
    <row r="27" spans="1:7">
      <c r="A27" s="2" t="s">
        <v>383</v>
      </c>
      <c r="B27" s="4" t="s">
        <v>917</v>
      </c>
      <c r="C27" s="119"/>
      <c r="D27" s="1194">
        <f>(D23-D25)</f>
        <v>0.93346512000000004</v>
      </c>
      <c r="E27" s="1194">
        <f>(E23-E25)</f>
        <v>0.93351306000000001</v>
      </c>
    </row>
    <row r="28" spans="1:7">
      <c r="C28" s="119"/>
      <c r="D28" s="119"/>
      <c r="E28" s="119"/>
    </row>
    <row r="29" spans="1:7">
      <c r="A29" s="2" t="s">
        <v>384</v>
      </c>
      <c r="B29" s="95" t="s">
        <v>174</v>
      </c>
      <c r="C29" s="246">
        <v>0.35</v>
      </c>
      <c r="D29" s="1195">
        <f>ROUND(D27*C29,6)</f>
        <v>0.32671299999999998</v>
      </c>
      <c r="E29" s="1195">
        <f>ROUND(E27*C29,6)</f>
        <v>0.32673000000000002</v>
      </c>
    </row>
    <row r="30" spans="1:7">
      <c r="C30" s="119"/>
      <c r="D30" s="119"/>
      <c r="E30" s="119"/>
    </row>
    <row r="31" spans="1:7">
      <c r="A31" s="2" t="s">
        <v>386</v>
      </c>
      <c r="B31" s="4" t="s">
        <v>397</v>
      </c>
      <c r="C31" s="119"/>
      <c r="D31" s="1194">
        <f>D27-D29</f>
        <v>0.60675212000000012</v>
      </c>
      <c r="E31" s="1194">
        <f>E27-E29</f>
        <v>0.60678305999999993</v>
      </c>
    </row>
    <row r="32" spans="1:7">
      <c r="C32" s="119"/>
      <c r="D32" s="119"/>
      <c r="E32" s="119"/>
    </row>
    <row r="33" spans="1:5">
      <c r="A33" s="2" t="s">
        <v>387</v>
      </c>
      <c r="B33" s="4" t="s">
        <v>131</v>
      </c>
    </row>
    <row r="34" spans="1:5">
      <c r="A34" s="2" t="s">
        <v>388</v>
      </c>
      <c r="B34" s="4" t="s">
        <v>918</v>
      </c>
      <c r="D34" s="554">
        <f>ROUND(1/$D$31,6)</f>
        <v>1.6481189999999999</v>
      </c>
      <c r="E34" s="554">
        <f>ROUND(1/$E$31,6)</f>
        <v>1.6480349999999999</v>
      </c>
    </row>
    <row r="37" spans="1:5">
      <c r="B37" s="4"/>
    </row>
    <row r="44" spans="1:5">
      <c r="A44" s="4" t="s">
        <v>579</v>
      </c>
    </row>
  </sheetData>
  <mergeCells count="5">
    <mergeCell ref="A5:E5"/>
    <mergeCell ref="A1:E1"/>
    <mergeCell ref="A2:E2"/>
    <mergeCell ref="A3:E3"/>
    <mergeCell ref="A4:E4"/>
  </mergeCells>
  <phoneticPr fontId="24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97"/>
  <sheetViews>
    <sheetView view="pageBreakPreview" zoomScale="60" zoomScaleNormal="90" workbookViewId="0">
      <pane xSplit="3" ySplit="13" topLeftCell="D14" activePane="bottomRight" state="frozen"/>
      <selection activeCell="G39" sqref="G39"/>
      <selection pane="topRight" activeCell="G39" sqref="G39"/>
      <selection pane="bottomLeft" activeCell="G39" sqref="G39"/>
      <selection pane="bottomRight" activeCell="R43" sqref="R43"/>
    </sheetView>
  </sheetViews>
  <sheetFormatPr defaultColWidth="7.109375" defaultRowHeight="15"/>
  <cols>
    <col min="1" max="1" width="5.109375" style="48" customWidth="1"/>
    <col min="2" max="2" width="18.109375" style="48" customWidth="1"/>
    <col min="3" max="3" width="5" style="48" customWidth="1"/>
    <col min="4" max="6" width="10.33203125" style="48" customWidth="1"/>
    <col min="7" max="7" width="11.44140625" style="48" bestFit="1" customWidth="1"/>
    <col min="8" max="8" width="10.44140625" style="48" customWidth="1"/>
    <col min="9" max="9" width="1.6640625" style="48" customWidth="1"/>
    <col min="10" max="10" width="10.6640625" style="110" bestFit="1" customWidth="1"/>
    <col min="11" max="11" width="1.109375" style="110" customWidth="1"/>
    <col min="12" max="12" width="10.21875" style="110" customWidth="1"/>
    <col min="13" max="13" width="1.6640625" style="48" customWidth="1"/>
    <col min="14" max="14" width="10.44140625" style="48" bestFit="1" customWidth="1"/>
    <col min="15" max="15" width="8.21875" style="48" customWidth="1"/>
    <col min="16" max="16" width="8.77734375" style="48" customWidth="1"/>
    <col min="17" max="17" width="8.88671875" style="48" bestFit="1" customWidth="1"/>
    <col min="18" max="19" width="8" style="48" bestFit="1" customWidth="1"/>
    <col min="20" max="16384" width="7.109375" style="48"/>
  </cols>
  <sheetData>
    <row r="1" spans="1:21">
      <c r="A1" s="1269" t="str">
        <f>'Table of Contents'!A1:C1</f>
        <v>Atmos Energy Corporation, Kentucky/Mid-States Division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  <c r="P1" s="1269"/>
    </row>
    <row r="2" spans="1:21">
      <c r="A2" s="1269" t="str">
        <f>'Table of Contents'!A2:C2</f>
        <v>Kentucky Jurisdiction Case No. 2015-00343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</row>
    <row r="3" spans="1:21">
      <c r="A3" s="1269" t="s">
        <v>628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</row>
    <row r="4" spans="1:21">
      <c r="A4" s="1269" t="str">
        <f>'Table of Contents'!A3:C3</f>
        <v>Base Period: Twelve Months Ended February 29, 2016</v>
      </c>
      <c r="B4" s="1269"/>
      <c r="C4" s="1269"/>
      <c r="D4" s="1269"/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9"/>
      <c r="P4" s="1269"/>
    </row>
    <row r="5" spans="1:21">
      <c r="A5" s="1269" t="str">
        <f>'Table of Contents'!A4:C4</f>
        <v>Forecasted Test Period: Twelve Months Ended May 31, 2017</v>
      </c>
      <c r="B5" s="1269"/>
      <c r="C5" s="1269"/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</row>
    <row r="6" spans="1:21">
      <c r="A6" s="590"/>
      <c r="B6" s="590"/>
      <c r="C6" s="590"/>
      <c r="D6" s="590"/>
      <c r="E6" s="590"/>
      <c r="F6" s="590"/>
      <c r="G6" s="590"/>
      <c r="H6" s="976"/>
      <c r="I6" s="590"/>
      <c r="J6" s="590"/>
      <c r="K6" s="590"/>
      <c r="L6" s="590"/>
      <c r="M6" s="590"/>
      <c r="N6" s="590"/>
      <c r="O6" s="976"/>
      <c r="P6" s="590"/>
    </row>
    <row r="7" spans="1:21">
      <c r="A7" s="49" t="s">
        <v>696</v>
      </c>
      <c r="P7" s="941" t="s">
        <v>1533</v>
      </c>
    </row>
    <row r="8" spans="1:21">
      <c r="A8" s="95" t="s">
        <v>631</v>
      </c>
      <c r="P8" s="922" t="s">
        <v>1157</v>
      </c>
    </row>
    <row r="9" spans="1:21">
      <c r="A9" s="50" t="s">
        <v>375</v>
      </c>
      <c r="B9" s="51"/>
      <c r="C9" s="51"/>
      <c r="D9" s="51"/>
      <c r="E9" s="51"/>
      <c r="F9" s="51"/>
      <c r="G9" s="51"/>
      <c r="H9" s="51"/>
      <c r="I9" s="51"/>
      <c r="J9" s="254"/>
      <c r="K9" s="254"/>
      <c r="L9" s="254"/>
      <c r="M9" s="52"/>
      <c r="N9" s="87"/>
      <c r="O9" s="87"/>
      <c r="P9" s="923" t="s">
        <v>1394</v>
      </c>
    </row>
    <row r="10" spans="1:21">
      <c r="D10" s="1268" t="s">
        <v>1182</v>
      </c>
      <c r="E10" s="1268"/>
      <c r="F10" s="1268"/>
      <c r="G10" s="1268"/>
      <c r="H10" s="1268"/>
      <c r="I10"/>
      <c r="J10" s="899" t="s">
        <v>1148</v>
      </c>
      <c r="K10" s="241"/>
      <c r="L10" s="899" t="s">
        <v>133</v>
      </c>
      <c r="M10"/>
      <c r="N10" s="225"/>
      <c r="O10" s="225"/>
      <c r="P10" s="225"/>
    </row>
    <row r="11" spans="1:21">
      <c r="A11"/>
      <c r="B11"/>
      <c r="C11"/>
      <c r="D11" s="119"/>
      <c r="E11" s="119"/>
      <c r="F11" s="119"/>
      <c r="G11" s="119"/>
      <c r="H11" s="119"/>
      <c r="I11"/>
      <c r="J11" s="106"/>
      <c r="K11" s="106"/>
      <c r="L11" s="106"/>
      <c r="M11"/>
    </row>
    <row r="12" spans="1:21">
      <c r="A12"/>
      <c r="B12" s="106"/>
      <c r="C12" s="106"/>
      <c r="D12" s="844"/>
      <c r="E12" s="844"/>
      <c r="F12" s="844"/>
      <c r="G12" s="844"/>
      <c r="H12" s="844"/>
      <c r="I12" s="106"/>
      <c r="J12" s="842"/>
      <c r="K12" s="841"/>
      <c r="L12" s="842"/>
      <c r="M12" s="106"/>
      <c r="N12" s="110"/>
      <c r="O12" s="110"/>
      <c r="P12" s="110"/>
    </row>
    <row r="13" spans="1:21">
      <c r="A13" s="222"/>
      <c r="B13" s="831"/>
      <c r="C13" s="831"/>
      <c r="D13" s="845" t="s">
        <v>1457</v>
      </c>
      <c r="E13" s="845" t="s">
        <v>1458</v>
      </c>
      <c r="F13" s="845" t="s">
        <v>1459</v>
      </c>
      <c r="G13" s="845" t="s">
        <v>1403</v>
      </c>
      <c r="H13" s="845" t="s">
        <v>1460</v>
      </c>
      <c r="I13" s="106"/>
      <c r="J13" s="850">
        <v>42429</v>
      </c>
      <c r="K13" s="851"/>
      <c r="L13" s="850">
        <v>42886</v>
      </c>
      <c r="M13" s="106"/>
      <c r="N13" s="832">
        <v>2017</v>
      </c>
      <c r="O13" s="833" t="s">
        <v>1448</v>
      </c>
      <c r="P13" s="833" t="s">
        <v>1495</v>
      </c>
      <c r="Q13" s="223"/>
      <c r="R13" s="223"/>
      <c r="S13" s="223"/>
      <c r="T13" s="223"/>
      <c r="U13" s="223"/>
    </row>
    <row r="14" spans="1:21">
      <c r="A14" t="s">
        <v>613</v>
      </c>
      <c r="B14"/>
      <c r="C14"/>
      <c r="D14" s="126" t="s">
        <v>151</v>
      </c>
      <c r="E14" s="126" t="s">
        <v>151</v>
      </c>
      <c r="F14" s="126" t="s">
        <v>151</v>
      </c>
      <c r="G14" s="126" t="s">
        <v>151</v>
      </c>
      <c r="H14" s="126"/>
      <c r="I14" s="106"/>
      <c r="J14" s="241" t="s">
        <v>151</v>
      </c>
      <c r="K14" s="106"/>
      <c r="L14" s="241" t="s">
        <v>151</v>
      </c>
      <c r="M14" s="106"/>
      <c r="N14" s="76" t="s">
        <v>151</v>
      </c>
      <c r="O14" s="973" t="s">
        <v>151</v>
      </c>
      <c r="P14" s="76" t="s">
        <v>151</v>
      </c>
    </row>
    <row r="15" spans="1:21">
      <c r="A15" t="s">
        <v>614</v>
      </c>
      <c r="B15"/>
      <c r="C15"/>
      <c r="D15" s="119"/>
      <c r="E15" s="119"/>
      <c r="F15" s="119"/>
      <c r="G15" s="119"/>
      <c r="H15" s="119"/>
      <c r="I15" s="106"/>
      <c r="J15" s="106"/>
      <c r="K15" s="106"/>
      <c r="L15" s="106"/>
      <c r="M15" s="106"/>
    </row>
    <row r="16" spans="1:21">
      <c r="A16"/>
      <c r="B16" t="s">
        <v>615</v>
      </c>
      <c r="C16"/>
      <c r="D16" s="846">
        <f>'[32]Div 9'!C12/1000</f>
        <v>144566.17382</v>
      </c>
      <c r="E16" s="846">
        <f>'[32]Div 9'!D12/1000</f>
        <v>136918.76372000002</v>
      </c>
      <c r="F16" s="846">
        <f>'[32]Div 9'!E12/1000</f>
        <v>121689.04076999999</v>
      </c>
      <c r="G16" s="846">
        <f>'[32]Div 9'!F12/1000</f>
        <v>148864.67317000002</v>
      </c>
      <c r="H16" s="846">
        <f>'[32]Div 9'!G12/1000</f>
        <v>180147.32215999995</v>
      </c>
      <c r="I16" s="846"/>
      <c r="J16" s="846">
        <f>'C.2.1 B'!D23/1000</f>
        <v>141659.07535926119</v>
      </c>
      <c r="K16" s="846"/>
      <c r="L16" s="846">
        <f>'C.2.1 F'!D19/1000</f>
        <v>147755.61132977463</v>
      </c>
      <c r="M16" s="846"/>
      <c r="N16" s="846">
        <f>'[6]Summary of Revenue'!AI$15/1000</f>
        <v>148201.69762508123</v>
      </c>
      <c r="O16" s="846">
        <f>'[6]Summary of Revenue'!AJ$15/1000</f>
        <v>151063.8947550146</v>
      </c>
      <c r="P16" s="846">
        <f>'[6]Summary of Revenue'!AK$15/1000</f>
        <v>152887.77556054486</v>
      </c>
      <c r="Q16" s="843"/>
    </row>
    <row r="17" spans="1:22">
      <c r="A17"/>
      <c r="B17" t="s">
        <v>185</v>
      </c>
      <c r="C17"/>
      <c r="D17" s="846">
        <f>'[32]Div 9'!C13/1000</f>
        <v>10267.069140000001</v>
      </c>
      <c r="E17" s="846">
        <f>'[32]Div 9'!D13/1000</f>
        <v>10853.642250000001</v>
      </c>
      <c r="F17" s="846">
        <f>'[32]Div 9'!E13/1000</f>
        <v>11315.066649999999</v>
      </c>
      <c r="G17" s="846">
        <f>'[32]Div 9'!F13/1000</f>
        <v>12586.588680000003</v>
      </c>
      <c r="H17" s="846">
        <f>'[32]Div 9'!G13/1000</f>
        <v>14310.851760000001</v>
      </c>
      <c r="I17" s="846"/>
      <c r="J17" s="846">
        <f>('C.2.1 B'!D28)/1000</f>
        <v>14819.845186750001</v>
      </c>
      <c r="K17" s="846"/>
      <c r="L17" s="846">
        <f>('C.2.1 F'!D24)/1000</f>
        <v>14493.60390615</v>
      </c>
      <c r="M17" s="846"/>
      <c r="N17" s="846">
        <f>'[6]Summary of Revenue'!AI$20/1000</f>
        <v>14493.60390615</v>
      </c>
      <c r="O17" s="846">
        <f>'[6]Summary of Revenue'!AJ$20/1000</f>
        <v>14493.60390615</v>
      </c>
      <c r="P17" s="846">
        <f>'[6]Summary of Revenue'!AK$20/1000</f>
        <v>14493.60390615</v>
      </c>
      <c r="Q17" s="843"/>
      <c r="R17" s="945"/>
      <c r="S17" s="883"/>
    </row>
    <row r="18" spans="1:22">
      <c r="A18"/>
      <c r="B18" t="s">
        <v>616</v>
      </c>
      <c r="C18"/>
      <c r="D18" s="857">
        <f>SUM('[32]Div 9'!C14:C15)/1000</f>
        <v>1982.5036100000002</v>
      </c>
      <c r="E18" s="857">
        <f>SUM('[32]Div 9'!D14:D15)/1000</f>
        <v>1889.40831</v>
      </c>
      <c r="F18" s="857">
        <f>SUM('[32]Div 9'!E14:E15)/1000</f>
        <v>1773.7464400000003</v>
      </c>
      <c r="G18" s="857">
        <f>SUM('[32]Div 9'!F14:F15)/1000</f>
        <v>1517.1913500000001</v>
      </c>
      <c r="H18" s="857">
        <f>SUM('[32]Div 9'!G14:G15)/1000</f>
        <v>2423.5631400000002</v>
      </c>
      <c r="I18" s="857"/>
      <c r="J18" s="857">
        <f>('C.2.1 B'!D26+'C.2.1 B'!D27+'C.2.1 B'!D29)/1000</f>
        <v>3392.9791060251737</v>
      </c>
      <c r="K18" s="857"/>
      <c r="L18" s="857">
        <f>('C.2.1 F'!D22+'C.2.1 F'!D23+'C.2.1 F'!D25)/1000</f>
        <v>4555.4402364956741</v>
      </c>
      <c r="M18" s="857"/>
      <c r="N18" s="857">
        <f t="shared" ref="N18:P18" si="0">N19-N16-N17</f>
        <v>4559.5243952574729</v>
      </c>
      <c r="O18" s="857">
        <f t="shared" si="0"/>
        <v>4581.8314897852306</v>
      </c>
      <c r="P18" s="857">
        <f t="shared" si="0"/>
        <v>4595.6846049505166</v>
      </c>
      <c r="Q18" s="843"/>
      <c r="R18" s="883"/>
      <c r="S18" s="883"/>
    </row>
    <row r="19" spans="1:22">
      <c r="A19" t="s">
        <v>617</v>
      </c>
      <c r="B19"/>
      <c r="C19"/>
      <c r="D19" s="846">
        <f>SUM(D16:D18)</f>
        <v>156815.74657000002</v>
      </c>
      <c r="E19" s="846">
        <f>SUM(E16:E18)</f>
        <v>149661.81428000002</v>
      </c>
      <c r="F19" s="846">
        <f>SUM(F16:F18)</f>
        <v>134777.85385999997</v>
      </c>
      <c r="G19" s="846">
        <f>SUM(G16:G18)</f>
        <v>162968.45320000005</v>
      </c>
      <c r="H19" s="846">
        <f>SUM(H16:H18)</f>
        <v>196881.73705999996</v>
      </c>
      <c r="I19" s="846"/>
      <c r="J19" s="846">
        <f>SUM(J16:J18)</f>
        <v>159871.89965203637</v>
      </c>
      <c r="K19" s="846"/>
      <c r="L19" s="846">
        <f>SUM(L16:L18)</f>
        <v>166804.6554724203</v>
      </c>
      <c r="M19" s="846"/>
      <c r="N19" s="846">
        <f>'[6]Summary of Revenue'!AI$23/1000</f>
        <v>167254.8259264887</v>
      </c>
      <c r="O19" s="846">
        <f>'[6]Summary of Revenue'!AJ$23/1000</f>
        <v>170139.33015094983</v>
      </c>
      <c r="P19" s="846">
        <f>'[6]Summary of Revenue'!AK$23/1000</f>
        <v>171977.06407164538</v>
      </c>
      <c r="Q19" s="843"/>
      <c r="R19" s="883"/>
      <c r="S19" s="883"/>
    </row>
    <row r="20" spans="1:22">
      <c r="A20"/>
      <c r="B20"/>
      <c r="C20"/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3"/>
      <c r="R20" s="883"/>
      <c r="S20" s="883"/>
    </row>
    <row r="21" spans="1:22">
      <c r="A21" t="s">
        <v>618</v>
      </c>
      <c r="B21"/>
      <c r="C21"/>
      <c r="D21" s="846">
        <f>'[32]Div 9'!C18/1000</f>
        <v>98777.117979999995</v>
      </c>
      <c r="E21" s="846">
        <f>'[32]Div 9'!D18/1000</f>
        <v>87028.120800000004</v>
      </c>
      <c r="F21" s="846">
        <f>'[32]Div 9'!E18/1000</f>
        <v>70662.981899999999</v>
      </c>
      <c r="G21" s="846">
        <f>'[32]Div 9'!F18/1000</f>
        <v>94656.999469999981</v>
      </c>
      <c r="H21" s="846">
        <f>'[32]Div 9'!G18/1000</f>
        <v>118107.39396</v>
      </c>
      <c r="I21" s="857"/>
      <c r="J21" s="857">
        <f>'C.2.1 B'!D104/1000</f>
        <v>77033.02086938516</v>
      </c>
      <c r="K21" s="857"/>
      <c r="L21" s="857">
        <f>'C.2.1 F'!D100/1000</f>
        <v>79378.176690454668</v>
      </c>
      <c r="M21" s="857"/>
      <c r="N21" s="846">
        <f>'[6]Summary of Revenue'!AI$25/1000</f>
        <v>79791.951291824647</v>
      </c>
      <c r="O21" s="846">
        <f>'[6]Summary of Revenue'!AJ$25/1000</f>
        <v>82529.745449445574</v>
      </c>
      <c r="P21" s="846">
        <f>'[6]Summary of Revenue'!AK$25/1000</f>
        <v>84229.223926242834</v>
      </c>
      <c r="Q21" s="843"/>
    </row>
    <row r="22" spans="1:22">
      <c r="A22" t="s">
        <v>118</v>
      </c>
      <c r="B22"/>
      <c r="C22"/>
      <c r="D22" s="847">
        <f>+D19-D21</f>
        <v>58038.628590000022</v>
      </c>
      <c r="E22" s="847">
        <f>+E19-E21</f>
        <v>62633.693480000016</v>
      </c>
      <c r="F22" s="847">
        <f>+F19-F21</f>
        <v>64114.871959999975</v>
      </c>
      <c r="G22" s="847">
        <f>+G19-G21</f>
        <v>68311.453730000067</v>
      </c>
      <c r="H22" s="847">
        <f>+H19-H21</f>
        <v>78774.343099999955</v>
      </c>
      <c r="I22" s="846"/>
      <c r="J22" s="846">
        <f>+J19-J21</f>
        <v>82838.878782651213</v>
      </c>
      <c r="K22" s="846"/>
      <c r="L22" s="846">
        <f>+L19-L21</f>
        <v>87426.478781965634</v>
      </c>
      <c r="M22" s="846"/>
      <c r="N22" s="847">
        <f>+N19-N21</f>
        <v>87462.874634664055</v>
      </c>
      <c r="O22" s="847">
        <f>+O19-O21</f>
        <v>87609.584701504253</v>
      </c>
      <c r="P22" s="847">
        <f>+P19-P21</f>
        <v>87747.840145402544</v>
      </c>
      <c r="Q22" s="843"/>
    </row>
    <row r="23" spans="1:22">
      <c r="A23"/>
      <c r="B23"/>
      <c r="C23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3"/>
    </row>
    <row r="24" spans="1:22">
      <c r="A24" t="s">
        <v>1009</v>
      </c>
      <c r="B24"/>
      <c r="C24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3"/>
    </row>
    <row r="25" spans="1:22">
      <c r="A25"/>
      <c r="B25" t="s">
        <v>119</v>
      </c>
      <c r="C25"/>
      <c r="D25" s="846">
        <f>SUM('[32]Div 9'!C23:C24)/1000</f>
        <v>11225.6656</v>
      </c>
      <c r="E25" s="846">
        <f>SUM('[32]Div 9'!D23:D24)/1000</f>
        <v>13366.362140000003</v>
      </c>
      <c r="F25" s="846">
        <f>SUM('[32]Div 9'!E23:E24)/1000</f>
        <v>12979.823540000001</v>
      </c>
      <c r="G25" s="846">
        <f>SUM('[32]Div 9'!F23:F24)/1000</f>
        <v>14376.623550000002</v>
      </c>
      <c r="H25" s="846">
        <f>SUM('[32]Div 9'!G23:G24)/1000</f>
        <v>14815.001260000003</v>
      </c>
      <c r="I25" s="846"/>
      <c r="J25" s="846">
        <f>(SUM('C.2.2 B 09'!P46:P108)-'C.2.2 B 09'!P99)/1000</f>
        <v>13577.128050712014</v>
      </c>
      <c r="K25" s="846"/>
      <c r="L25" s="846">
        <f>C.1!F19/1000-I.1!L26</f>
        <v>11449.311456631311</v>
      </c>
      <c r="M25" s="846"/>
      <c r="N25" s="1235">
        <v>11602</v>
      </c>
      <c r="O25" s="1235">
        <v>12043</v>
      </c>
      <c r="P25" s="1235">
        <v>12500</v>
      </c>
      <c r="Q25" s="843"/>
      <c r="V25" s="255"/>
    </row>
    <row r="26" spans="1:22">
      <c r="A26"/>
      <c r="B26" t="s">
        <v>577</v>
      </c>
      <c r="C26"/>
      <c r="D26" s="846">
        <f>'[32]Div 9'!C25/1000</f>
        <v>9668.2314099999985</v>
      </c>
      <c r="E26" s="846">
        <f>'[32]Div 9'!D25/1000</f>
        <v>9411.669100000001</v>
      </c>
      <c r="F26" s="846">
        <f>'[32]Div 9'!E25/1000</f>
        <v>10085.67484</v>
      </c>
      <c r="G26" s="846">
        <f>'[32]Div 9'!F25/1000</f>
        <v>11534.019540000001</v>
      </c>
      <c r="H26" s="846">
        <f>'[32]Div 9'!G25/1000</f>
        <v>12035.970230000001</v>
      </c>
      <c r="I26" s="846"/>
      <c r="J26" s="846">
        <f>'C.2.2 B 09'!P99/1000</f>
        <v>13070.219117788245</v>
      </c>
      <c r="K26" s="846"/>
      <c r="L26" s="846">
        <f>'C.2.2-F 09'!P99/1000</f>
        <v>14025.277326675854</v>
      </c>
      <c r="M26" s="846"/>
      <c r="N26" s="1235">
        <v>14212</v>
      </c>
      <c r="O26" s="1235">
        <v>14752</v>
      </c>
      <c r="P26" s="1235">
        <v>15313</v>
      </c>
      <c r="Q26" s="843"/>
    </row>
    <row r="27" spans="1:22">
      <c r="A27"/>
      <c r="B27" t="s">
        <v>120</v>
      </c>
      <c r="C27"/>
      <c r="D27" s="846">
        <f>'[32]Div 9'!C26/1000</f>
        <v>12908.531209999997</v>
      </c>
      <c r="E27" s="846">
        <f>'[32]Div 9'!D26/1000</f>
        <v>13430.852279999999</v>
      </c>
      <c r="F27" s="846">
        <f>'[32]Div 9'!E26/1000</f>
        <v>13981.399549999998</v>
      </c>
      <c r="G27" s="846">
        <f>'[32]Div 9'!F26/1000</f>
        <v>14919.020950000002</v>
      </c>
      <c r="H27" s="846">
        <f>'[32]Div 9'!G26/1000</f>
        <v>16845.712130000004</v>
      </c>
      <c r="I27" s="846"/>
      <c r="J27" s="846">
        <f>'C.2.1 B'!D175/1000</f>
        <v>18252.729938099386</v>
      </c>
      <c r="K27" s="846"/>
      <c r="L27" s="846">
        <f>C.2!K26/1000</f>
        <v>19444.465926407061</v>
      </c>
      <c r="M27" s="846"/>
      <c r="N27" s="1235">
        <v>21765</v>
      </c>
      <c r="O27" s="1235">
        <v>22867</v>
      </c>
      <c r="P27" s="1235">
        <v>25604</v>
      </c>
      <c r="Q27" s="843"/>
    </row>
    <row r="28" spans="1:22">
      <c r="A28"/>
      <c r="B28" t="s">
        <v>121</v>
      </c>
      <c r="C28"/>
      <c r="D28" s="846">
        <f>'[32]Div 9'!C27/1000</f>
        <v>4069.52711</v>
      </c>
      <c r="E28" s="846">
        <f>'[32]Div 9'!D27/1000</f>
        <v>2981.8731400000001</v>
      </c>
      <c r="F28" s="846">
        <f>'[32]Div 9'!E27/1000</f>
        <v>4317.3126800000009</v>
      </c>
      <c r="G28" s="846">
        <f>'[32]Div 9'!F27/1000</f>
        <v>3871.4445599999999</v>
      </c>
      <c r="H28" s="846">
        <f>'[32]Div 9'!G27/1000</f>
        <v>4647.8072000000011</v>
      </c>
      <c r="I28" s="857"/>
      <c r="J28" s="857">
        <f>'C.2.1 B'!D176/1000</f>
        <v>6437.5447243131657</v>
      </c>
      <c r="K28" s="857"/>
      <c r="L28" s="857">
        <f>'C.2.1 F'!D172/1000</f>
        <v>6100.2201526932758</v>
      </c>
      <c r="M28" s="857"/>
      <c r="N28" s="1236">
        <v>6966</v>
      </c>
      <c r="O28" s="1236">
        <v>7800</v>
      </c>
      <c r="P28" s="1236">
        <v>8709</v>
      </c>
      <c r="Q28" s="843"/>
    </row>
    <row r="29" spans="1:22">
      <c r="A29" t="s">
        <v>1141</v>
      </c>
      <c r="B29"/>
      <c r="C29"/>
      <c r="D29" s="847">
        <f>SUM(D25:D28)</f>
        <v>37871.955330000004</v>
      </c>
      <c r="E29" s="847">
        <f>SUM(E25:E28)</f>
        <v>39190.756660000006</v>
      </c>
      <c r="F29" s="847">
        <f>SUM(F25:F28)</f>
        <v>41364.210610000002</v>
      </c>
      <c r="G29" s="847">
        <f>SUM(G25:G28)</f>
        <v>44701.108600000007</v>
      </c>
      <c r="H29" s="847">
        <f>SUM(H25:H28)</f>
        <v>48344.490820000014</v>
      </c>
      <c r="I29" s="846"/>
      <c r="J29" s="846">
        <f>SUM(J25:J28)</f>
        <v>51337.621830912809</v>
      </c>
      <c r="K29" s="846"/>
      <c r="L29" s="846">
        <f>SUM(L25:L28)</f>
        <v>51019.274862407503</v>
      </c>
      <c r="M29" s="846"/>
      <c r="N29" s="846">
        <f>SUM(N25:N28)</f>
        <v>54545</v>
      </c>
      <c r="O29" s="846">
        <f>SUM(O25:O28)</f>
        <v>57462</v>
      </c>
      <c r="P29" s="846">
        <f>SUM(P25:P28)</f>
        <v>62126</v>
      </c>
      <c r="Q29" s="210"/>
    </row>
    <row r="30" spans="1:22">
      <c r="A30"/>
      <c r="B30"/>
      <c r="C30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210"/>
    </row>
    <row r="31" spans="1:22">
      <c r="A31" t="s">
        <v>597</v>
      </c>
      <c r="B31"/>
      <c r="C31"/>
      <c r="D31" s="846">
        <f>+D22-D29</f>
        <v>20166.673260000018</v>
      </c>
      <c r="E31" s="846">
        <f>+E22-E29</f>
        <v>23442.93682000001</v>
      </c>
      <c r="F31" s="846">
        <f>+F22-F29</f>
        <v>22750.661349999973</v>
      </c>
      <c r="G31" s="846">
        <f>+G22-G29</f>
        <v>23610.34513000006</v>
      </c>
      <c r="H31" s="846">
        <f>+H22-H29</f>
        <v>30429.852279999941</v>
      </c>
      <c r="I31" s="846"/>
      <c r="J31" s="846">
        <f>+J22-J29</f>
        <v>31501.256951738404</v>
      </c>
      <c r="K31" s="846"/>
      <c r="L31" s="846">
        <f>+L22-L29</f>
        <v>36407.203919558131</v>
      </c>
      <c r="M31" s="846"/>
      <c r="N31" s="846">
        <f>+N22-N29</f>
        <v>32917.874634664055</v>
      </c>
      <c r="O31" s="846">
        <f>+O22-O29</f>
        <v>30147.584701504253</v>
      </c>
      <c r="P31" s="846">
        <f>+P22-P29</f>
        <v>25621.840145402544</v>
      </c>
      <c r="Q31" s="210"/>
    </row>
    <row r="32" spans="1:22">
      <c r="A32"/>
      <c r="B32"/>
      <c r="C32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210"/>
    </row>
    <row r="33" spans="1:18">
      <c r="A33" t="s">
        <v>598</v>
      </c>
      <c r="B33"/>
      <c r="C33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210"/>
    </row>
    <row r="34" spans="1:18">
      <c r="A34"/>
      <c r="B34" t="s">
        <v>816</v>
      </c>
      <c r="C34"/>
      <c r="D34" s="846">
        <f>'[32]Div 9'!C33/1000</f>
        <v>153.46370999999999</v>
      </c>
      <c r="E34" s="846">
        <f>'[32]Div 9'!D33/1000</f>
        <v>1.6809999999999999E-2</v>
      </c>
      <c r="F34" s="846">
        <f>'[32]Div 9'!E33/1000</f>
        <v>63.590940000000003</v>
      </c>
      <c r="G34" s="846">
        <f>'[32]Div 9'!F33/1000</f>
        <v>82.738509999999991</v>
      </c>
      <c r="H34" s="846">
        <f>'[32]Div 9'!G33/1000</f>
        <v>69.150829999999999</v>
      </c>
      <c r="I34" s="846"/>
      <c r="J34" s="846">
        <v>75</v>
      </c>
      <c r="K34" s="846"/>
      <c r="L34" s="846">
        <v>85</v>
      </c>
      <c r="M34" s="846"/>
      <c r="N34" s="1237">
        <v>31</v>
      </c>
      <c r="O34" s="1237">
        <v>34</v>
      </c>
      <c r="P34" s="1237">
        <v>21</v>
      </c>
      <c r="Q34" s="843"/>
    </row>
    <row r="35" spans="1:18">
      <c r="A35"/>
      <c r="B35" t="s">
        <v>51</v>
      </c>
      <c r="C35"/>
      <c r="D35" s="846">
        <f>'[32]Div 9'!C34/1000</f>
        <v>2069.88627</v>
      </c>
      <c r="E35" s="846">
        <f>'[32]Div 9'!D34/1000</f>
        <v>2165.6452200000003</v>
      </c>
      <c r="F35" s="846">
        <f>'[32]Div 9'!E34/1000</f>
        <v>2702.1011899999999</v>
      </c>
      <c r="G35" s="846">
        <f>'[32]Div 9'!F34/1000</f>
        <v>2658.6314700000003</v>
      </c>
      <c r="H35" s="846">
        <f>'[32]Div 9'!G34/1000</f>
        <v>2704.8019899999999</v>
      </c>
      <c r="I35" s="846"/>
      <c r="J35" s="846">
        <v>2500</v>
      </c>
      <c r="K35" s="846"/>
      <c r="L35" s="846">
        <v>2500</v>
      </c>
      <c r="M35" s="846"/>
      <c r="N35" s="1237">
        <v>2500</v>
      </c>
      <c r="O35" s="1237">
        <v>2500</v>
      </c>
      <c r="P35" s="1237">
        <v>2500</v>
      </c>
      <c r="R35" s="843"/>
    </row>
    <row r="36" spans="1:18">
      <c r="A36"/>
      <c r="B36" t="s">
        <v>599</v>
      </c>
      <c r="C36"/>
      <c r="D36" s="846">
        <f>'[32]Div 9'!C35/1000</f>
        <v>172.25878</v>
      </c>
      <c r="E36" s="846">
        <f>'[32]Div 9'!D35/1000</f>
        <v>1119.96189</v>
      </c>
      <c r="F36" s="846">
        <f>'[32]Div 9'!E35/1000</f>
        <v>45.767440000000001</v>
      </c>
      <c r="G36" s="846">
        <f>'[32]Div 9'!F35/1000</f>
        <v>71.223429999999993</v>
      </c>
      <c r="H36" s="846">
        <f>'[32]Div 9'!G35/1000</f>
        <v>60.73415</v>
      </c>
      <c r="I36" s="857"/>
      <c r="J36" s="857">
        <f>H36</f>
        <v>60.73415</v>
      </c>
      <c r="K36" s="857"/>
      <c r="L36" s="857">
        <f>J36</f>
        <v>60.73415</v>
      </c>
      <c r="M36" s="857"/>
      <c r="N36" s="1238">
        <v>61</v>
      </c>
      <c r="O36" s="1238">
        <v>61</v>
      </c>
      <c r="P36" s="1238">
        <v>61</v>
      </c>
      <c r="Q36" s="843"/>
    </row>
    <row r="37" spans="1:18">
      <c r="A37" t="s">
        <v>52</v>
      </c>
      <c r="B37"/>
      <c r="C37"/>
      <c r="D37" s="847">
        <f>SUM(D34:D36)</f>
        <v>2395.6087600000001</v>
      </c>
      <c r="E37" s="847">
        <f>SUM(E34:E36)</f>
        <v>3285.6239200000005</v>
      </c>
      <c r="F37" s="847">
        <f>SUM(F34:F36)</f>
        <v>2811.45957</v>
      </c>
      <c r="G37" s="847">
        <f>SUM(G34:G36)</f>
        <v>2812.5934100000004</v>
      </c>
      <c r="H37" s="847">
        <f>SUM(H34:H36)</f>
        <v>2834.6869699999997</v>
      </c>
      <c r="I37" s="846"/>
      <c r="J37" s="846">
        <f>SUM(J34:J36)</f>
        <v>2635.7341500000002</v>
      </c>
      <c r="K37" s="846"/>
      <c r="L37" s="846">
        <f>SUM(L34:L36)</f>
        <v>2645.7341500000002</v>
      </c>
      <c r="M37" s="846"/>
      <c r="N37" s="846">
        <f>SUM(N34:N36)</f>
        <v>2592</v>
      </c>
      <c r="O37" s="846">
        <f>SUM(O34:O36)</f>
        <v>2595</v>
      </c>
      <c r="P37" s="846">
        <f>SUM(P34:P36)</f>
        <v>2582</v>
      </c>
      <c r="Q37" s="210"/>
    </row>
    <row r="38" spans="1:18">
      <c r="A38"/>
      <c r="B38"/>
      <c r="C38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6"/>
      <c r="Q38" s="210"/>
    </row>
    <row r="39" spans="1:18">
      <c r="A39" t="s">
        <v>1008</v>
      </c>
      <c r="B39"/>
      <c r="C39"/>
      <c r="D39" s="846"/>
      <c r="E39" s="846"/>
      <c r="F39" s="846"/>
      <c r="G39" s="846"/>
      <c r="H39" s="846"/>
      <c r="I39" s="846"/>
      <c r="J39" s="846"/>
      <c r="K39" s="846"/>
      <c r="L39" s="846"/>
      <c r="M39" s="846"/>
      <c r="N39" s="846"/>
      <c r="O39" s="846"/>
      <c r="P39" s="846"/>
      <c r="Q39" s="210"/>
    </row>
    <row r="40" spans="1:18">
      <c r="A40" t="s">
        <v>739</v>
      </c>
      <c r="B40"/>
      <c r="C40"/>
      <c r="D40" s="848">
        <f>'[32]Div 9'!C38/1000</f>
        <v>6631.9056800000008</v>
      </c>
      <c r="E40" s="848">
        <f>'[32]Div 9'!D38/1000</f>
        <v>6397.6621499999983</v>
      </c>
      <c r="F40" s="848">
        <f>'[32]Div 9'!E38/1000</f>
        <v>6276.4753200000005</v>
      </c>
      <c r="G40" s="848">
        <f>'[32]Div 9'!F38/1000</f>
        <v>7215.4299899999996</v>
      </c>
      <c r="H40" s="848">
        <f>'[32]Div 9'!G38/1000</f>
        <v>7234.5592099999994</v>
      </c>
      <c r="I40" s="848"/>
      <c r="J40" s="848">
        <f>E!E32/1000</f>
        <v>7209.8611314391146</v>
      </c>
      <c r="K40" s="848"/>
      <c r="L40" s="848">
        <f>E!G32/1000</f>
        <v>7739.4727520916158</v>
      </c>
      <c r="M40" s="848"/>
      <c r="N40" s="1239">
        <v>7240</v>
      </c>
      <c r="O40" s="1239">
        <v>8906</v>
      </c>
      <c r="P40" s="1239">
        <v>9174</v>
      </c>
      <c r="Q40" s="843"/>
    </row>
    <row r="41" spans="1:18">
      <c r="A41" t="s">
        <v>740</v>
      </c>
      <c r="B41"/>
      <c r="C41"/>
      <c r="D41" s="848">
        <f>+D31+D37-D40</f>
        <v>15930.376340000017</v>
      </c>
      <c r="E41" s="848">
        <f>+E31+E37-E40</f>
        <v>20330.898590000012</v>
      </c>
      <c r="F41" s="848">
        <f>+F31+F37-F40</f>
        <v>19285.645599999971</v>
      </c>
      <c r="G41" s="848">
        <f>+G31+G37-G40</f>
        <v>19207.50855000006</v>
      </c>
      <c r="H41" s="848">
        <f>+H31+H37-H40</f>
        <v>26029.980039999944</v>
      </c>
      <c r="I41" s="848"/>
      <c r="J41" s="848">
        <f>+J31+J37-J40</f>
        <v>26927.129970299284</v>
      </c>
      <c r="K41" s="848"/>
      <c r="L41" s="848">
        <f>+L31+L37-L40</f>
        <v>31313.465317466518</v>
      </c>
      <c r="M41" s="848"/>
      <c r="N41" s="848">
        <f>+N31+N37-N40</f>
        <v>28269.874634664055</v>
      </c>
      <c r="O41" s="848">
        <f>+O31+O37-O40</f>
        <v>23836.584701504253</v>
      </c>
      <c r="P41" s="848">
        <f>+P31+P37-P40</f>
        <v>19029.840145402544</v>
      </c>
      <c r="Q41" s="210"/>
    </row>
    <row r="42" spans="1:18">
      <c r="A42"/>
      <c r="B42" t="s">
        <v>741</v>
      </c>
      <c r="C42"/>
      <c r="D42" s="848">
        <f>'[32]Div 9'!C44/1000</f>
        <v>5226.6149999999998</v>
      </c>
      <c r="E42" s="848">
        <f>'[32]Div 9'!D44/1000</f>
        <v>8020.3919999999998</v>
      </c>
      <c r="F42" s="848">
        <f>'[32]Div 9'!E44/1000</f>
        <v>5350.1074900000003</v>
      </c>
      <c r="G42" s="848">
        <f>'[32]Div 9'!F44/1000</f>
        <v>7419.8234199999997</v>
      </c>
      <c r="H42" s="848">
        <f>'[32]Div 9'!G44/1000</f>
        <v>9671.5353700000014</v>
      </c>
      <c r="I42" s="848"/>
      <c r="J42" s="848">
        <f>J41*E!$G$21</f>
        <v>10474.653558446422</v>
      </c>
      <c r="K42" s="848"/>
      <c r="L42" s="848">
        <f>L41*E!$G$21</f>
        <v>12180.938008494475</v>
      </c>
      <c r="M42" s="848"/>
      <c r="N42" s="1240">
        <v>11263</v>
      </c>
      <c r="O42" s="1240">
        <v>9496</v>
      </c>
      <c r="P42" s="1240">
        <v>7581</v>
      </c>
      <c r="Q42" s="210"/>
    </row>
    <row r="43" spans="1:18">
      <c r="A43"/>
      <c r="B43"/>
      <c r="C43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210"/>
    </row>
    <row r="44" spans="1:18" ht="15.75" thickBot="1">
      <c r="A44" t="s">
        <v>177</v>
      </c>
      <c r="B44"/>
      <c r="C44"/>
      <c r="D44" s="849">
        <f>+D41-D42</f>
        <v>10703.761340000017</v>
      </c>
      <c r="E44" s="849">
        <f>+E41-E42</f>
        <v>12310.506590000012</v>
      </c>
      <c r="F44" s="849">
        <f>+F41-F42</f>
        <v>13935.53810999997</v>
      </c>
      <c r="G44" s="849">
        <f>+G41-G42</f>
        <v>11787.68513000006</v>
      </c>
      <c r="H44" s="849">
        <f>+H41-H42</f>
        <v>16358.444669999943</v>
      </c>
      <c r="I44" s="849"/>
      <c r="J44" s="849">
        <f>+J41-J42</f>
        <v>16452.476411852862</v>
      </c>
      <c r="K44" s="849"/>
      <c r="L44" s="849">
        <f>+L41-L42</f>
        <v>19132.527308972043</v>
      </c>
      <c r="M44" s="849"/>
      <c r="N44" s="849">
        <f>+N41-N42</f>
        <v>17006.874634664055</v>
      </c>
      <c r="O44" s="849">
        <f>+O41-O42</f>
        <v>14340.584701504253</v>
      </c>
      <c r="P44" s="849">
        <f>+P41-P42</f>
        <v>11448.840145402544</v>
      </c>
      <c r="Q44" s="210"/>
    </row>
    <row r="45" spans="1:18" ht="15.75" thickTop="1">
      <c r="C45"/>
      <c r="D45" s="246"/>
      <c r="E45" s="246"/>
      <c r="F45" s="246"/>
      <c r="G45" s="246"/>
      <c r="H45" s="246"/>
      <c r="I45" s="161"/>
      <c r="J45" s="246"/>
      <c r="K45" s="246"/>
      <c r="L45" s="246"/>
      <c r="M45" s="246"/>
      <c r="N45" s="246"/>
      <c r="O45" s="246"/>
      <c r="P45" s="246"/>
      <c r="Q45" s="246"/>
    </row>
    <row r="46" spans="1:18">
      <c r="A46"/>
      <c r="B46" s="269"/>
      <c r="C46"/>
      <c r="D46" s="161"/>
      <c r="E46" s="161"/>
      <c r="F46" s="161"/>
      <c r="G46" s="161"/>
      <c r="H46" s="161"/>
      <c r="I46" s="161"/>
      <c r="J46" s="255"/>
      <c r="K46" s="255"/>
      <c r="L46" s="255"/>
      <c r="M46" s="161"/>
      <c r="N46" s="161"/>
      <c r="O46" s="161"/>
      <c r="P46" s="161"/>
      <c r="Q46" s="210"/>
    </row>
    <row r="47" spans="1:18">
      <c r="A47"/>
      <c r="B47" s="269"/>
      <c r="C47"/>
      <c r="D47" s="161"/>
      <c r="E47" s="161"/>
      <c r="F47" s="161"/>
      <c r="G47" s="161"/>
      <c r="H47" s="161"/>
      <c r="I47" s="161"/>
      <c r="J47" s="255"/>
      <c r="K47" s="255"/>
      <c r="L47" s="255"/>
      <c r="M47" s="161"/>
      <c r="N47" s="210"/>
      <c r="O47" s="210"/>
      <c r="P47" s="210"/>
      <c r="Q47" s="53"/>
    </row>
    <row r="48" spans="1:18">
      <c r="A48"/>
      <c r="B48"/>
      <c r="C48"/>
      <c r="D48" s="161"/>
      <c r="E48" s="161"/>
      <c r="F48" s="161"/>
      <c r="G48" s="161"/>
      <c r="H48" s="161"/>
      <c r="I48" s="161"/>
      <c r="J48" s="255"/>
      <c r="K48" s="255"/>
      <c r="L48" s="255"/>
      <c r="M48" s="161"/>
      <c r="N48" s="210"/>
      <c r="O48" s="210"/>
      <c r="P48" s="210"/>
      <c r="Q48" s="53"/>
      <c r="R48" s="54"/>
    </row>
    <row r="49" spans="1:18">
      <c r="A49"/>
      <c r="B49"/>
      <c r="C49"/>
      <c r="D49" s="161"/>
      <c r="E49" s="161"/>
      <c r="F49" s="161"/>
      <c r="G49" s="161"/>
      <c r="H49" s="161"/>
      <c r="I49" s="161"/>
      <c r="J49" s="255"/>
      <c r="K49" s="255"/>
      <c r="L49" s="255"/>
      <c r="M49" s="161"/>
      <c r="N49" s="210"/>
      <c r="O49" s="210"/>
      <c r="P49" s="210"/>
      <c r="Q49" s="53"/>
      <c r="R49" s="54"/>
    </row>
    <row r="50" spans="1:18">
      <c r="A50"/>
      <c r="B50"/>
      <c r="C50"/>
      <c r="D50" s="161"/>
      <c r="E50" s="161"/>
      <c r="F50" s="161"/>
      <c r="G50" s="161"/>
      <c r="H50" s="161"/>
      <c r="I50" s="161"/>
      <c r="J50" s="255"/>
      <c r="K50" s="255"/>
      <c r="L50" s="255"/>
      <c r="M50" s="161"/>
      <c r="N50" s="210"/>
      <c r="O50" s="210"/>
      <c r="P50" s="210"/>
      <c r="Q50" s="210"/>
    </row>
    <row r="51" spans="1:18">
      <c r="A51"/>
      <c r="B51"/>
      <c r="C51"/>
      <c r="D51" s="161"/>
      <c r="E51" s="161"/>
      <c r="F51" s="161"/>
      <c r="G51" s="161"/>
      <c r="H51" s="161"/>
      <c r="I51" s="161"/>
      <c r="J51" s="255"/>
      <c r="K51" s="255"/>
      <c r="L51" s="255"/>
      <c r="M51" s="161"/>
      <c r="N51" s="210"/>
      <c r="O51" s="210"/>
      <c r="P51" s="210"/>
      <c r="Q51" s="210"/>
    </row>
    <row r="52" spans="1:18">
      <c r="A52"/>
      <c r="B52"/>
      <c r="C52"/>
      <c r="D52" s="161"/>
      <c r="E52" s="161"/>
      <c r="F52" s="161"/>
      <c r="G52" s="161"/>
      <c r="H52" s="161"/>
      <c r="I52" s="161"/>
      <c r="J52" s="255"/>
      <c r="K52" s="255"/>
      <c r="L52" s="255"/>
      <c r="M52" s="161"/>
      <c r="N52" s="210"/>
      <c r="O52" s="210"/>
      <c r="P52" s="210"/>
      <c r="Q52" s="54"/>
    </row>
    <row r="53" spans="1:18">
      <c r="A53"/>
      <c r="B53"/>
      <c r="C53"/>
      <c r="D53" s="161"/>
      <c r="E53" s="161"/>
      <c r="F53" s="161"/>
      <c r="G53" s="161"/>
      <c r="H53" s="161"/>
      <c r="I53" s="161"/>
      <c r="J53" s="255"/>
      <c r="K53" s="255"/>
      <c r="L53" s="255"/>
      <c r="M53" s="161"/>
      <c r="N53" s="210"/>
      <c r="O53" s="210"/>
      <c r="P53" s="210"/>
      <c r="Q53" s="210"/>
    </row>
    <row r="54" spans="1:18">
      <c r="A54"/>
      <c r="B54"/>
      <c r="C54"/>
      <c r="D54" s="161"/>
      <c r="E54" s="161"/>
      <c r="F54" s="161"/>
      <c r="G54" s="161"/>
      <c r="H54" s="161"/>
      <c r="I54" s="161"/>
      <c r="J54" s="255"/>
      <c r="K54" s="255"/>
      <c r="L54" s="255"/>
      <c r="M54" s="161"/>
      <c r="N54" s="54"/>
      <c r="O54" s="54"/>
      <c r="P54" s="210"/>
      <c r="Q54" s="210"/>
    </row>
    <row r="55" spans="1:18">
      <c r="A55"/>
      <c r="B55"/>
      <c r="C55"/>
      <c r="D55" s="161"/>
      <c r="E55" s="161"/>
      <c r="F55" s="161"/>
      <c r="G55" s="161"/>
      <c r="H55" s="161"/>
      <c r="I55" s="161"/>
      <c r="J55" s="255"/>
      <c r="K55" s="255"/>
      <c r="L55" s="255"/>
      <c r="M55" s="161"/>
      <c r="N55" s="54"/>
      <c r="O55" s="54"/>
      <c r="P55" s="210"/>
      <c r="Q55" s="210"/>
    </row>
    <row r="56" spans="1:18">
      <c r="A56"/>
      <c r="B56"/>
      <c r="C56"/>
      <c r="D56" s="161"/>
      <c r="E56" s="161"/>
      <c r="F56" s="161"/>
      <c r="G56" s="161"/>
      <c r="H56" s="161"/>
      <c r="I56" s="161"/>
      <c r="J56" s="255"/>
      <c r="K56" s="255"/>
      <c r="L56" s="255"/>
      <c r="M56" s="161"/>
      <c r="N56" s="210"/>
      <c r="O56" s="210"/>
      <c r="P56" s="210"/>
      <c r="Q56" s="210"/>
    </row>
    <row r="57" spans="1:18">
      <c r="A57"/>
      <c r="B57"/>
      <c r="C57"/>
      <c r="D57" s="161"/>
      <c r="E57" s="161"/>
      <c r="F57" s="161"/>
      <c r="G57" s="161"/>
      <c r="H57" s="161"/>
      <c r="I57" s="161"/>
      <c r="J57" s="255"/>
      <c r="K57" s="255"/>
      <c r="L57" s="255"/>
      <c r="M57" s="161"/>
      <c r="N57" s="210"/>
      <c r="O57" s="210"/>
      <c r="P57" s="210"/>
      <c r="Q57" s="210"/>
    </row>
    <row r="58" spans="1:18">
      <c r="A58"/>
      <c r="B58"/>
      <c r="C58"/>
      <c r="D58"/>
      <c r="E58"/>
      <c r="F58"/>
      <c r="G58"/>
      <c r="H58"/>
      <c r="I58"/>
      <c r="J58" s="106"/>
      <c r="K58" s="106"/>
      <c r="L58" s="106"/>
      <c r="M58"/>
    </row>
    <row r="59" spans="1:18">
      <c r="A59"/>
      <c r="B59"/>
      <c r="C59"/>
      <c r="D59"/>
      <c r="E59"/>
      <c r="F59"/>
      <c r="G59"/>
      <c r="H59"/>
      <c r="I59"/>
      <c r="J59" s="106"/>
      <c r="K59" s="106"/>
      <c r="L59" s="106"/>
      <c r="M59"/>
    </row>
    <row r="60" spans="1:18">
      <c r="A60"/>
      <c r="B60"/>
      <c r="C60"/>
      <c r="D60"/>
      <c r="E60"/>
      <c r="F60"/>
      <c r="G60"/>
      <c r="H60"/>
      <c r="I60"/>
      <c r="J60" s="106"/>
      <c r="K60" s="106"/>
      <c r="L60" s="106"/>
      <c r="M60"/>
    </row>
    <row r="61" spans="1:18">
      <c r="A61"/>
      <c r="B61"/>
      <c r="C61"/>
      <c r="D61"/>
      <c r="E61"/>
      <c r="F61"/>
      <c r="G61"/>
      <c r="H61"/>
      <c r="I61"/>
      <c r="J61" s="106"/>
      <c r="K61" s="106"/>
      <c r="L61" s="106"/>
      <c r="M61"/>
    </row>
    <row r="62" spans="1:18">
      <c r="A62"/>
      <c r="B62"/>
      <c r="C62"/>
      <c r="D62"/>
      <c r="E62"/>
      <c r="F62"/>
      <c r="G62"/>
      <c r="H62"/>
      <c r="I62"/>
      <c r="J62" s="106"/>
      <c r="K62" s="106"/>
      <c r="L62" s="106"/>
      <c r="M62"/>
    </row>
    <row r="63" spans="1:18">
      <c r="A63"/>
      <c r="B63"/>
      <c r="C63"/>
      <c r="D63"/>
      <c r="E63"/>
      <c r="F63"/>
      <c r="G63"/>
      <c r="H63"/>
      <c r="I63"/>
      <c r="J63" s="106"/>
      <c r="K63" s="106"/>
      <c r="L63" s="106"/>
      <c r="M63"/>
    </row>
    <row r="64" spans="1:18">
      <c r="A64"/>
      <c r="B64"/>
      <c r="C64"/>
      <c r="D64"/>
      <c r="E64"/>
      <c r="F64"/>
      <c r="G64"/>
      <c r="H64"/>
      <c r="I64"/>
      <c r="J64" s="106"/>
      <c r="K64" s="106"/>
      <c r="L64" s="106"/>
      <c r="M64"/>
    </row>
    <row r="65" spans="1:13">
      <c r="A65"/>
      <c r="B65"/>
      <c r="C65"/>
      <c r="D65"/>
      <c r="E65"/>
      <c r="F65"/>
      <c r="G65"/>
      <c r="H65"/>
      <c r="I65"/>
      <c r="J65" s="106"/>
      <c r="K65" s="106"/>
      <c r="L65" s="106"/>
      <c r="M65"/>
    </row>
    <row r="66" spans="1:13">
      <c r="A66"/>
      <c r="B66"/>
      <c r="C66"/>
      <c r="D66"/>
      <c r="E66"/>
      <c r="F66"/>
      <c r="G66"/>
      <c r="H66"/>
      <c r="I66"/>
      <c r="J66" s="106"/>
      <c r="K66" s="106"/>
      <c r="L66" s="106"/>
      <c r="M66"/>
    </row>
    <row r="67" spans="1:13">
      <c r="A67"/>
      <c r="B67"/>
      <c r="C67"/>
      <c r="D67"/>
      <c r="E67"/>
      <c r="F67"/>
      <c r="G67"/>
      <c r="H67"/>
      <c r="I67"/>
      <c r="J67" s="106"/>
      <c r="K67" s="106"/>
      <c r="L67" s="106"/>
      <c r="M67"/>
    </row>
    <row r="68" spans="1:13">
      <c r="A68"/>
      <c r="B68"/>
      <c r="C68"/>
      <c r="D68"/>
      <c r="E68"/>
      <c r="F68"/>
      <c r="G68"/>
      <c r="H68"/>
      <c r="I68"/>
      <c r="J68" s="106"/>
      <c r="K68" s="106"/>
      <c r="L68" s="106"/>
      <c r="M68"/>
    </row>
    <row r="69" spans="1:13">
      <c r="A69"/>
      <c r="B69"/>
      <c r="C69"/>
      <c r="D69"/>
      <c r="E69"/>
      <c r="F69"/>
      <c r="G69"/>
      <c r="H69"/>
      <c r="I69"/>
      <c r="J69" s="106"/>
      <c r="K69" s="106"/>
      <c r="L69" s="106"/>
      <c r="M69"/>
    </row>
    <row r="70" spans="1:13">
      <c r="A70"/>
      <c r="B70"/>
      <c r="C70"/>
      <c r="D70"/>
      <c r="E70"/>
      <c r="F70"/>
      <c r="G70"/>
      <c r="H70"/>
      <c r="I70"/>
      <c r="J70" s="106"/>
      <c r="K70" s="106"/>
      <c r="L70" s="106"/>
      <c r="M70"/>
    </row>
    <row r="71" spans="1:13">
      <c r="A71"/>
      <c r="B71"/>
      <c r="C71"/>
      <c r="D71"/>
      <c r="E71"/>
      <c r="F71"/>
      <c r="G71"/>
      <c r="H71"/>
      <c r="I71"/>
      <c r="J71" s="106"/>
      <c r="K71" s="106"/>
      <c r="L71" s="106"/>
      <c r="M71"/>
    </row>
    <row r="72" spans="1:13">
      <c r="A72"/>
      <c r="B72"/>
      <c r="C72"/>
      <c r="D72"/>
      <c r="E72"/>
      <c r="F72"/>
      <c r="G72"/>
      <c r="H72"/>
      <c r="I72"/>
      <c r="J72" s="106"/>
      <c r="K72" s="106"/>
      <c r="L72" s="106"/>
      <c r="M72"/>
    </row>
    <row r="73" spans="1:13">
      <c r="A73"/>
      <c r="B73"/>
      <c r="C73"/>
      <c r="D73"/>
      <c r="E73"/>
      <c r="F73"/>
      <c r="G73"/>
      <c r="H73"/>
      <c r="I73"/>
      <c r="J73" s="106"/>
      <c r="K73" s="106"/>
      <c r="L73" s="106"/>
      <c r="M73"/>
    </row>
    <row r="74" spans="1:13">
      <c r="A74"/>
      <c r="B74"/>
      <c r="C74"/>
      <c r="D74"/>
      <c r="E74"/>
      <c r="F74"/>
      <c r="G74"/>
      <c r="H74"/>
      <c r="I74"/>
      <c r="J74" s="106"/>
      <c r="K74" s="106"/>
      <c r="L74" s="106"/>
      <c r="M74"/>
    </row>
    <row r="75" spans="1:13">
      <c r="A75"/>
      <c r="B75"/>
      <c r="C75"/>
      <c r="D75"/>
      <c r="E75"/>
      <c r="F75"/>
      <c r="G75"/>
      <c r="H75"/>
      <c r="I75"/>
      <c r="J75" s="106"/>
      <c r="K75" s="106"/>
      <c r="L75" s="106"/>
      <c r="M75"/>
    </row>
    <row r="76" spans="1:13">
      <c r="A76"/>
      <c r="B76"/>
      <c r="C76"/>
      <c r="D76"/>
      <c r="E76"/>
      <c r="F76"/>
      <c r="G76"/>
      <c r="H76"/>
      <c r="I76"/>
      <c r="J76" s="106"/>
      <c r="K76" s="106"/>
      <c r="L76" s="106"/>
      <c r="M76"/>
    </row>
    <row r="77" spans="1:13">
      <c r="A77"/>
      <c r="B77"/>
      <c r="C77"/>
      <c r="D77"/>
      <c r="E77"/>
      <c r="F77"/>
      <c r="G77"/>
      <c r="H77"/>
      <c r="I77"/>
      <c r="J77" s="106"/>
      <c r="K77" s="106"/>
      <c r="L77" s="106"/>
      <c r="M77"/>
    </row>
    <row r="78" spans="1:13">
      <c r="A78"/>
      <c r="B78"/>
      <c r="C78"/>
      <c r="D78"/>
      <c r="E78"/>
      <c r="F78"/>
      <c r="G78"/>
      <c r="H78"/>
      <c r="I78"/>
      <c r="J78" s="106"/>
      <c r="K78" s="106"/>
      <c r="L78" s="106"/>
      <c r="M78"/>
    </row>
    <row r="79" spans="1:13">
      <c r="A79"/>
      <c r="B79"/>
      <c r="C79"/>
      <c r="D79"/>
      <c r="E79"/>
      <c r="F79"/>
      <c r="G79"/>
      <c r="H79"/>
      <c r="I79"/>
      <c r="J79" s="106"/>
      <c r="K79" s="106"/>
      <c r="L79" s="106"/>
      <c r="M79"/>
    </row>
    <row r="80" spans="1:13">
      <c r="A80"/>
      <c r="B80"/>
      <c r="C80"/>
      <c r="D80"/>
      <c r="E80"/>
      <c r="F80"/>
      <c r="G80"/>
      <c r="H80"/>
      <c r="I80"/>
      <c r="J80" s="106"/>
      <c r="K80" s="106"/>
      <c r="L80" s="106"/>
      <c r="M80"/>
    </row>
    <row r="81" spans="1:13">
      <c r="A81"/>
      <c r="B81"/>
      <c r="C81"/>
      <c r="D81"/>
      <c r="E81"/>
      <c r="F81"/>
      <c r="G81"/>
      <c r="H81"/>
      <c r="I81"/>
      <c r="J81" s="106"/>
      <c r="K81" s="106"/>
      <c r="L81" s="106"/>
      <c r="M81"/>
    </row>
    <row r="82" spans="1:13">
      <c r="A82"/>
      <c r="B82"/>
      <c r="C82"/>
      <c r="D82"/>
      <c r="E82"/>
      <c r="F82"/>
      <c r="G82"/>
      <c r="H82"/>
      <c r="I82"/>
      <c r="J82" s="106"/>
      <c r="K82" s="106"/>
      <c r="L82" s="106"/>
      <c r="M82"/>
    </row>
    <row r="83" spans="1:13">
      <c r="A83"/>
      <c r="B83"/>
      <c r="C83"/>
      <c r="D83"/>
      <c r="E83"/>
      <c r="F83"/>
      <c r="G83"/>
      <c r="H83"/>
      <c r="I83"/>
      <c r="J83" s="106"/>
      <c r="K83" s="106"/>
      <c r="L83" s="106"/>
      <c r="M83"/>
    </row>
    <row r="84" spans="1:13">
      <c r="A84"/>
      <c r="B84"/>
      <c r="C84"/>
      <c r="D84"/>
      <c r="E84"/>
      <c r="F84"/>
      <c r="G84"/>
      <c r="H84"/>
      <c r="I84"/>
      <c r="J84" s="106"/>
      <c r="K84" s="106"/>
      <c r="L84" s="106"/>
      <c r="M84"/>
    </row>
    <row r="85" spans="1:13">
      <c r="A85"/>
      <c r="B85"/>
      <c r="C85"/>
      <c r="D85"/>
      <c r="E85"/>
      <c r="F85"/>
      <c r="G85"/>
      <c r="H85"/>
      <c r="I85"/>
      <c r="J85" s="106"/>
      <c r="K85" s="106"/>
      <c r="L85" s="106"/>
      <c r="M85"/>
    </row>
    <row r="86" spans="1:13">
      <c r="A86"/>
      <c r="B86"/>
      <c r="C86"/>
      <c r="D86"/>
      <c r="E86"/>
      <c r="F86"/>
      <c r="G86"/>
      <c r="H86"/>
      <c r="I86"/>
      <c r="J86" s="106"/>
      <c r="K86" s="106"/>
      <c r="L86" s="106"/>
      <c r="M86"/>
    </row>
    <row r="87" spans="1:13">
      <c r="A87"/>
      <c r="B87"/>
      <c r="C87"/>
      <c r="D87"/>
      <c r="E87"/>
      <c r="F87"/>
      <c r="G87"/>
      <c r="H87"/>
      <c r="I87"/>
      <c r="J87" s="106"/>
      <c r="K87" s="106"/>
      <c r="L87" s="106"/>
      <c r="M87"/>
    </row>
    <row r="88" spans="1:13">
      <c r="A88"/>
      <c r="B88"/>
      <c r="C88"/>
      <c r="D88"/>
      <c r="E88"/>
      <c r="F88"/>
      <c r="G88"/>
      <c r="H88"/>
      <c r="I88"/>
      <c r="J88" s="106"/>
      <c r="K88" s="106"/>
      <c r="L88" s="106"/>
      <c r="M88"/>
    </row>
    <row r="89" spans="1:13">
      <c r="A89"/>
      <c r="B89"/>
      <c r="C89"/>
      <c r="D89"/>
      <c r="E89"/>
      <c r="F89"/>
      <c r="G89"/>
      <c r="H89"/>
      <c r="I89"/>
      <c r="J89" s="106"/>
      <c r="K89" s="106"/>
      <c r="L89" s="106"/>
      <c r="M89"/>
    </row>
    <row r="90" spans="1:13">
      <c r="A90"/>
      <c r="B90"/>
      <c r="C90"/>
      <c r="D90"/>
      <c r="E90"/>
      <c r="F90"/>
      <c r="G90"/>
      <c r="H90"/>
      <c r="I90"/>
      <c r="J90" s="106"/>
      <c r="K90" s="106"/>
      <c r="L90" s="106"/>
      <c r="M90"/>
    </row>
    <row r="91" spans="1:13">
      <c r="A91"/>
      <c r="B91"/>
      <c r="C91"/>
      <c r="D91"/>
      <c r="E91"/>
      <c r="F91"/>
      <c r="G91"/>
      <c r="H91"/>
      <c r="I91"/>
      <c r="J91" s="106"/>
      <c r="K91" s="106"/>
      <c r="L91" s="106"/>
      <c r="M91"/>
    </row>
    <row r="92" spans="1:13">
      <c r="A92"/>
      <c r="B92"/>
      <c r="C92"/>
      <c r="D92"/>
      <c r="E92"/>
      <c r="F92"/>
      <c r="G92"/>
      <c r="H92"/>
      <c r="I92"/>
      <c r="J92" s="106"/>
      <c r="K92" s="106"/>
      <c r="L92" s="106"/>
      <c r="M92"/>
    </row>
    <row r="93" spans="1:13">
      <c r="A93"/>
      <c r="B93"/>
      <c r="C93"/>
      <c r="D93"/>
      <c r="E93"/>
      <c r="F93"/>
      <c r="G93"/>
      <c r="H93"/>
      <c r="I93"/>
      <c r="J93" s="106"/>
      <c r="K93" s="106"/>
      <c r="L93" s="106"/>
      <c r="M93"/>
    </row>
    <row r="94" spans="1:13">
      <c r="A94"/>
      <c r="B94"/>
      <c r="C94"/>
      <c r="D94"/>
      <c r="E94"/>
      <c r="F94"/>
      <c r="G94"/>
      <c r="H94"/>
      <c r="I94"/>
      <c r="J94" s="106"/>
      <c r="K94" s="106"/>
      <c r="L94" s="106"/>
      <c r="M94"/>
    </row>
    <row r="95" spans="1:13">
      <c r="A95"/>
      <c r="B95"/>
      <c r="C95"/>
      <c r="D95"/>
      <c r="E95"/>
      <c r="F95"/>
      <c r="G95"/>
      <c r="H95"/>
      <c r="I95"/>
      <c r="J95" s="106"/>
      <c r="K95" s="106"/>
      <c r="L95" s="106"/>
      <c r="M95"/>
    </row>
    <row r="96" spans="1:13">
      <c r="A96"/>
      <c r="B96"/>
      <c r="C96"/>
      <c r="D96"/>
      <c r="E96"/>
      <c r="F96"/>
      <c r="G96"/>
      <c r="H96"/>
      <c r="I96"/>
      <c r="J96" s="106"/>
      <c r="K96" s="106"/>
      <c r="L96" s="106"/>
      <c r="M96"/>
    </row>
    <row r="97" spans="1:13">
      <c r="A97"/>
      <c r="B97"/>
      <c r="C97"/>
      <c r="D97"/>
      <c r="E97"/>
      <c r="F97"/>
      <c r="G97"/>
      <c r="H97"/>
      <c r="I97"/>
      <c r="J97" s="106"/>
      <c r="K97" s="106"/>
      <c r="L97" s="106"/>
      <c r="M97"/>
    </row>
  </sheetData>
  <mergeCells count="6">
    <mergeCell ref="D10:H10"/>
    <mergeCell ref="A1:P1"/>
    <mergeCell ref="A2:P2"/>
    <mergeCell ref="A3:P3"/>
    <mergeCell ref="A4:P4"/>
    <mergeCell ref="A5:P5"/>
  </mergeCells>
  <phoneticPr fontId="24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W74"/>
  <sheetViews>
    <sheetView view="pageBreakPreview" zoomScale="60" zoomScaleNormal="80" workbookViewId="0">
      <pane xSplit="6" ySplit="12" topLeftCell="G13" activePane="bottomRight" state="frozen"/>
      <selection activeCell="G39" sqref="G39"/>
      <selection pane="topRight" activeCell="G39" sqref="G39"/>
      <selection pane="bottomLeft" activeCell="G39" sqref="G39"/>
      <selection pane="bottomRight" activeCell="R40" sqref="R40"/>
    </sheetView>
  </sheetViews>
  <sheetFormatPr defaultColWidth="7.109375" defaultRowHeight="15"/>
  <cols>
    <col min="1" max="1" width="4.44140625" style="1" customWidth="1"/>
    <col min="2" max="2" width="0" style="1" hidden="1" customWidth="1"/>
    <col min="3" max="3" width="12.33203125" style="1" customWidth="1"/>
    <col min="4" max="4" width="7.109375" style="1"/>
    <col min="5" max="5" width="4.44140625" style="1" customWidth="1"/>
    <col min="6" max="6" width="1.44140625" style="1" customWidth="1"/>
    <col min="7" max="7" width="13.33203125" style="1" bestFit="1" customWidth="1"/>
    <col min="8" max="8" width="12.88671875" style="1" customWidth="1"/>
    <col min="9" max="10" width="13.33203125" style="1" bestFit="1" customWidth="1"/>
    <col min="11" max="11" width="13.33203125" style="1" customWidth="1"/>
    <col min="12" max="12" width="1.44140625" style="1" customWidth="1"/>
    <col min="13" max="13" width="13.109375" style="107" bestFit="1" customWidth="1"/>
    <col min="14" max="14" width="1.44140625" style="107" customWidth="1"/>
    <col min="15" max="15" width="13.109375" style="107" bestFit="1" customWidth="1"/>
    <col min="16" max="16" width="1.44140625" style="107" customWidth="1"/>
    <col min="17" max="17" width="13.44140625" style="1" customWidth="1"/>
    <col min="18" max="19" width="13.5546875" style="1" customWidth="1"/>
    <col min="20" max="20" width="9.33203125" style="1" customWidth="1"/>
    <col min="21" max="22" width="11.44140625" style="1" bestFit="1" customWidth="1"/>
    <col min="23" max="16384" width="7.109375" style="1"/>
  </cols>
  <sheetData>
    <row r="1" spans="1:21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975"/>
    </row>
    <row r="2" spans="1:21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975"/>
    </row>
    <row r="3" spans="1:21">
      <c r="A3" s="1256" t="s">
        <v>321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975"/>
    </row>
    <row r="4" spans="1:21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975"/>
    </row>
    <row r="5" spans="1:21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  <c r="S5" s="975"/>
    </row>
    <row r="6" spans="1:21">
      <c r="Q6" s="48"/>
      <c r="T6" s="47"/>
      <c r="U6" s="47"/>
    </row>
    <row r="7" spans="1:21">
      <c r="A7" s="4" t="s">
        <v>696</v>
      </c>
      <c r="Q7" s="48"/>
      <c r="R7" s="48" t="s">
        <v>1534</v>
      </c>
      <c r="T7" s="47"/>
      <c r="U7" s="47"/>
    </row>
    <row r="8" spans="1:21">
      <c r="A8" s="4" t="s">
        <v>555</v>
      </c>
      <c r="Q8" s="4"/>
      <c r="R8" s="4" t="s">
        <v>1157</v>
      </c>
      <c r="T8" s="47"/>
      <c r="U8" s="47"/>
    </row>
    <row r="9" spans="1:21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7"/>
      <c r="N9" s="207"/>
      <c r="O9" s="207"/>
      <c r="P9" s="207"/>
      <c r="Q9" s="5"/>
      <c r="R9" s="5" t="s">
        <v>1395</v>
      </c>
      <c r="S9" s="47"/>
      <c r="T9" s="47"/>
      <c r="U9" s="47"/>
    </row>
    <row r="10" spans="1:21">
      <c r="M10" s="160" t="s">
        <v>45</v>
      </c>
      <c r="O10" s="160" t="s">
        <v>44</v>
      </c>
      <c r="P10" s="898"/>
      <c r="T10" s="47"/>
      <c r="U10" s="47"/>
    </row>
    <row r="11" spans="1:21">
      <c r="A11" s="4" t="s">
        <v>98</v>
      </c>
      <c r="E11" s="107"/>
      <c r="F11" s="107"/>
      <c r="G11" s="1270" t="s">
        <v>1182</v>
      </c>
      <c r="H11" s="1270"/>
      <c r="I11" s="1270"/>
      <c r="J11" s="1270"/>
      <c r="K11" s="1270"/>
      <c r="L11" s="107"/>
      <c r="M11" s="830" t="s">
        <v>553</v>
      </c>
      <c r="O11" s="830" t="s">
        <v>553</v>
      </c>
      <c r="P11" s="898"/>
      <c r="Q11" s="1270" t="s">
        <v>1051</v>
      </c>
      <c r="R11" s="1270"/>
      <c r="S11" s="1270"/>
      <c r="T11" s="47"/>
      <c r="U11" s="47"/>
    </row>
    <row r="12" spans="1:21">
      <c r="A12" s="5" t="s">
        <v>104</v>
      </c>
      <c r="B12" s="6"/>
      <c r="C12" s="9" t="s">
        <v>1004</v>
      </c>
      <c r="D12" s="6"/>
      <c r="E12" s="207"/>
      <c r="F12" s="207"/>
      <c r="G12" s="852" t="str">
        <f>I.1!D13</f>
        <v>2010</v>
      </c>
      <c r="H12" s="852" t="str">
        <f>I.1!E13</f>
        <v>2011</v>
      </c>
      <c r="I12" s="852" t="str">
        <f>I.1!F13</f>
        <v>2012</v>
      </c>
      <c r="J12" s="852" t="str">
        <f>I.1!G13</f>
        <v>2013</v>
      </c>
      <c r="K12" s="852" t="str">
        <f>I.1!H13</f>
        <v>2014</v>
      </c>
      <c r="L12" s="834"/>
      <c r="M12" s="850">
        <f>I.1!J13</f>
        <v>42429</v>
      </c>
      <c r="N12" s="851"/>
      <c r="O12" s="850">
        <f>I.1!L13</f>
        <v>42886</v>
      </c>
      <c r="P12" s="835"/>
      <c r="Q12" s="852">
        <f>I.1!N13</f>
        <v>2017</v>
      </c>
      <c r="R12" s="852" t="str">
        <f>I.1!O13</f>
        <v>2018</v>
      </c>
      <c r="S12" s="852" t="str">
        <f>I.1!P13</f>
        <v>2019</v>
      </c>
      <c r="T12" s="47"/>
      <c r="U12" s="47"/>
    </row>
    <row r="13" spans="1:21">
      <c r="G13" s="2"/>
      <c r="H13" s="2"/>
      <c r="I13" s="2"/>
      <c r="J13" s="2"/>
      <c r="K13" s="974"/>
      <c r="M13" s="160"/>
      <c r="O13" s="160"/>
      <c r="P13" s="898"/>
      <c r="Q13" s="2"/>
      <c r="R13" s="2"/>
      <c r="S13" s="974"/>
      <c r="T13" s="47"/>
      <c r="U13" s="47"/>
    </row>
    <row r="14" spans="1:21">
      <c r="T14" s="47"/>
      <c r="U14" s="47"/>
    </row>
    <row r="15" spans="1:21">
      <c r="A15" s="2" t="s">
        <v>376</v>
      </c>
      <c r="C15" s="4" t="s">
        <v>733</v>
      </c>
      <c r="M15" s="107" t="s">
        <v>332</v>
      </c>
      <c r="T15" s="47"/>
      <c r="U15" s="47"/>
    </row>
    <row r="16" spans="1:21">
      <c r="A16" s="2" t="s">
        <v>378</v>
      </c>
      <c r="C16" s="4" t="s">
        <v>135</v>
      </c>
      <c r="G16" s="386">
        <f>SUM('[32]gas rev'!C12:C13)</f>
        <v>93088348.690000013</v>
      </c>
      <c r="H16" s="386">
        <f>SUM('[32]gas rev'!D12:D13)</f>
        <v>88493240.719999999</v>
      </c>
      <c r="I16" s="386">
        <f>SUM('[32]gas rev'!E12:E13)</f>
        <v>78630274.98999998</v>
      </c>
      <c r="J16" s="386">
        <f>SUM('[32]gas rev'!F12:F13)</f>
        <v>96055210.370000005</v>
      </c>
      <c r="K16" s="386">
        <f>SUM('[32]gas rev'!G12:G13)</f>
        <v>115327134.43999998</v>
      </c>
      <c r="L16" s="107"/>
      <c r="M16" s="386">
        <f>'C.2.1 B'!D15+'C.2.1 B'!D16</f>
        <v>91419831.03906399</v>
      </c>
      <c r="O16" s="386">
        <f>'C.2.1 F'!D15</f>
        <v>95823029.825353429</v>
      </c>
      <c r="Q16" s="386">
        <f>'[6]Summary of Revenue'!AI11</f>
        <v>96045488.529456005</v>
      </c>
      <c r="R16" s="386">
        <f>'[6]Summary of Revenue'!AJ11</f>
        <v>97861094.092501938</v>
      </c>
      <c r="S16" s="386">
        <f>'[6]Summary of Revenue'!AK11</f>
        <v>99046032.478723392</v>
      </c>
      <c r="T16" s="853"/>
      <c r="U16" s="47"/>
    </row>
    <row r="17" spans="1:23">
      <c r="A17" s="2" t="s">
        <v>380</v>
      </c>
      <c r="C17" s="4" t="s">
        <v>136</v>
      </c>
      <c r="D17" s="2"/>
      <c r="G17" s="99">
        <f>'[32]gas rev'!C14</f>
        <v>38332859.919999994</v>
      </c>
      <c r="H17" s="99">
        <f>'[32]gas rev'!D14</f>
        <v>35988736.229999997</v>
      </c>
      <c r="I17" s="99">
        <f>'[32]gas rev'!E14</f>
        <v>31478562.100000001</v>
      </c>
      <c r="J17" s="99">
        <f>'[32]gas rev'!F14</f>
        <v>39938783.520000003</v>
      </c>
      <c r="K17" s="99">
        <f>'[32]gas rev'!G14</f>
        <v>49294803.939999998</v>
      </c>
      <c r="L17" s="107"/>
      <c r="M17" s="99">
        <f>'C.2.1 B'!D17+'C.2.1 B'!D19</f>
        <v>37978420.38430135</v>
      </c>
      <c r="O17" s="99">
        <f>'C.2.1 F'!D16</f>
        <v>39862445.220677249</v>
      </c>
      <c r="Q17" s="386">
        <f>'[6]Summary of Revenue'!AI12</f>
        <v>40019024.728671424</v>
      </c>
      <c r="R17" s="386">
        <f>'[6]Summary of Revenue'!AJ12</f>
        <v>40771832.974779055</v>
      </c>
      <c r="S17" s="386">
        <f>'[6]Summary of Revenue'!AK12</f>
        <v>41230020.749995179</v>
      </c>
      <c r="T17" s="853"/>
      <c r="U17" s="47"/>
    </row>
    <row r="18" spans="1:23">
      <c r="A18" s="2" t="s">
        <v>381</v>
      </c>
      <c r="C18" s="4" t="s">
        <v>137</v>
      </c>
      <c r="D18" s="2"/>
      <c r="G18" s="99">
        <f>'[32]gas rev'!C15</f>
        <v>4589557.51</v>
      </c>
      <c r="H18" s="99">
        <f>'[32]gas rev'!D15</f>
        <v>4854620.18</v>
      </c>
      <c r="I18" s="99">
        <f>'[32]gas rev'!E15</f>
        <v>4926384.9400000004</v>
      </c>
      <c r="J18" s="99">
        <f>'[32]gas rev'!F15</f>
        <v>4796885.17</v>
      </c>
      <c r="K18" s="99">
        <f>'[32]gas rev'!G15</f>
        <v>5845776.3600000003</v>
      </c>
      <c r="L18" s="107"/>
      <c r="M18" s="99">
        <f>'C.2.1 B'!D18+'C.2.1 B'!D20</f>
        <v>5336528.4362137234</v>
      </c>
      <c r="O18" s="99">
        <f>'C.2.1 F'!D17</f>
        <v>4880527.2397751613</v>
      </c>
      <c r="Q18" s="386">
        <f>'[6]Summary of Revenue'!AI13</f>
        <v>4918707.7756084725</v>
      </c>
      <c r="R18" s="386">
        <f>'[6]Summary of Revenue'!AJ13</f>
        <v>5051038.1504665781</v>
      </c>
      <c r="S18" s="386">
        <f>'[6]Summary of Revenue'!AK13</f>
        <v>5134408.3128598938</v>
      </c>
      <c r="T18" s="853"/>
      <c r="U18" s="47"/>
    </row>
    <row r="19" spans="1:23">
      <c r="A19" s="2" t="s">
        <v>382</v>
      </c>
      <c r="C19" s="4" t="s">
        <v>168</v>
      </c>
      <c r="D19" s="2"/>
      <c r="G19" s="99">
        <f>'[32]gas rev'!C16</f>
        <v>8555407.7000000011</v>
      </c>
      <c r="H19" s="99">
        <f>'[32]gas rev'!D16</f>
        <v>7582166.5899999999</v>
      </c>
      <c r="I19" s="99">
        <f>'[32]gas rev'!E16</f>
        <v>6653818.7400000002</v>
      </c>
      <c r="J19" s="99">
        <f>'[32]gas rev'!F16</f>
        <v>8073794.1099999994</v>
      </c>
      <c r="K19" s="99">
        <f>'[32]gas rev'!G16</f>
        <v>9679607.4199999999</v>
      </c>
      <c r="L19" s="107"/>
      <c r="M19" s="99">
        <f>'C.2.1 B'!D21+'C.2.1 B'!D22</f>
        <v>6924295.4996820828</v>
      </c>
      <c r="O19" s="99">
        <f>'C.2.1 F'!D18</f>
        <v>7189609.0439688396</v>
      </c>
      <c r="Q19" s="386">
        <f>'[6]Summary of Revenue'!AI14</f>
        <v>7218476.5913453251</v>
      </c>
      <c r="R19" s="386">
        <f>'[6]Summary of Revenue'!AJ14</f>
        <v>7379929.5372670051</v>
      </c>
      <c r="S19" s="386">
        <f>'[6]Summary of Revenue'!AK14</f>
        <v>7477314.0189663647</v>
      </c>
      <c r="T19" s="853"/>
      <c r="U19" s="945"/>
      <c r="V19" s="883"/>
    </row>
    <row r="20" spans="1:23">
      <c r="A20" s="2" t="s">
        <v>383</v>
      </c>
      <c r="C20" s="4" t="s">
        <v>90</v>
      </c>
      <c r="G20" s="109"/>
      <c r="H20" s="109"/>
      <c r="I20" s="109"/>
      <c r="J20" s="109"/>
      <c r="K20" s="109"/>
      <c r="L20" s="107"/>
      <c r="M20" s="109"/>
      <c r="N20" s="207"/>
      <c r="O20" s="112"/>
      <c r="Q20" s="112"/>
      <c r="R20" s="112"/>
      <c r="S20" s="112"/>
      <c r="T20" s="63"/>
      <c r="U20" s="945"/>
      <c r="V20" s="883"/>
    </row>
    <row r="21" spans="1:23">
      <c r="G21" s="99"/>
      <c r="H21" s="99"/>
      <c r="I21" s="99"/>
      <c r="J21" s="99"/>
      <c r="K21" s="99"/>
      <c r="L21" s="107"/>
      <c r="M21" s="99"/>
      <c r="O21" s="99"/>
      <c r="Q21" s="99"/>
      <c r="R21" s="99"/>
      <c r="S21" s="99"/>
      <c r="T21" s="63"/>
      <c r="U21" s="883"/>
      <c r="V21" s="883"/>
    </row>
    <row r="22" spans="1:23">
      <c r="A22" s="2" t="s">
        <v>384</v>
      </c>
      <c r="C22" s="4" t="s">
        <v>433</v>
      </c>
      <c r="G22" s="386">
        <f>SUM(G16:G20)</f>
        <v>144566173.81999999</v>
      </c>
      <c r="H22" s="386">
        <f>SUM(H16:H20)</f>
        <v>136918763.72</v>
      </c>
      <c r="I22" s="386">
        <f>SUM(I16:I20)</f>
        <v>121689040.76999997</v>
      </c>
      <c r="J22" s="386">
        <f>SUM(J16:J20)</f>
        <v>148864673.17000002</v>
      </c>
      <c r="K22" s="386">
        <f>SUM(K16:K20)</f>
        <v>180147322.16</v>
      </c>
      <c r="L22" s="107"/>
      <c r="M22" s="386">
        <f>SUM(M16:M20)</f>
        <v>141659075.35926113</v>
      </c>
      <c r="N22" s="448"/>
      <c r="O22" s="386">
        <f>SUM(O16:O20)</f>
        <v>147755611.32977465</v>
      </c>
      <c r="Q22" s="386">
        <f>SUM(Q16:Q20)</f>
        <v>148201697.62508124</v>
      </c>
      <c r="R22" s="386">
        <f>SUM(R16:R20)</f>
        <v>151063894.7550146</v>
      </c>
      <c r="S22" s="386">
        <f>SUM(S16:S20)</f>
        <v>152887775.56054485</v>
      </c>
      <c r="T22" s="63"/>
      <c r="U22" s="945"/>
      <c r="V22" s="945"/>
    </row>
    <row r="23" spans="1:23">
      <c r="G23" s="99"/>
      <c r="H23" s="99"/>
      <c r="I23" s="99"/>
      <c r="J23" s="99"/>
      <c r="K23" s="99"/>
      <c r="L23" s="107"/>
      <c r="M23" s="99"/>
      <c r="O23" s="99"/>
      <c r="Q23" s="99"/>
      <c r="R23" s="99"/>
      <c r="S23" s="99"/>
      <c r="T23" s="63"/>
      <c r="U23" s="883"/>
      <c r="V23" s="883"/>
      <c r="W23" s="883"/>
    </row>
    <row r="24" spans="1:23">
      <c r="A24" s="2">
        <v>8</v>
      </c>
      <c r="C24" s="4" t="s">
        <v>169</v>
      </c>
      <c r="G24" s="99"/>
      <c r="H24" s="99"/>
      <c r="I24" s="99"/>
      <c r="J24" s="99"/>
      <c r="K24" s="99"/>
      <c r="L24" s="107"/>
      <c r="M24" s="99"/>
      <c r="O24" s="99"/>
      <c r="Q24" s="99"/>
      <c r="R24" s="99"/>
      <c r="S24" s="99"/>
      <c r="T24" s="63"/>
      <c r="U24" s="945"/>
      <c r="V24" s="883"/>
    </row>
    <row r="25" spans="1:23">
      <c r="A25" s="2" t="s">
        <v>387</v>
      </c>
      <c r="C25" s="4" t="s">
        <v>135</v>
      </c>
      <c r="D25" s="2" t="s">
        <v>332</v>
      </c>
      <c r="G25" s="458">
        <f>'[32]gas customers'!C13</f>
        <v>154483</v>
      </c>
      <c r="H25" s="458">
        <f>'[32]gas customers'!D13</f>
        <v>154947</v>
      </c>
      <c r="I25" s="458">
        <f>'[32]gas customers'!E13</f>
        <v>156159</v>
      </c>
      <c r="J25" s="458">
        <f>'[32]gas customers'!F13</f>
        <v>157010</v>
      </c>
      <c r="K25" s="458">
        <f>'[32]gas customers'!G13</f>
        <v>157922</v>
      </c>
      <c r="L25" s="107"/>
      <c r="M25" s="458">
        <f>'[6]Summary of Stats'!O11</f>
        <v>155669.75</v>
      </c>
      <c r="N25" s="581"/>
      <c r="O25" s="458">
        <f>'[6]Summary of Stats'!AF11</f>
        <v>156169.75</v>
      </c>
      <c r="Q25" s="458">
        <f>'[6]Summary of Stats'!AI11</f>
        <v>156303.08333333334</v>
      </c>
      <c r="R25" s="458">
        <f>'[6]Summary of Stats'!AJ11</f>
        <v>156703.08333333334</v>
      </c>
      <c r="S25" s="458">
        <f>'[6]Summary of Stats'!AK11</f>
        <v>157103.08333333334</v>
      </c>
      <c r="T25" s="853"/>
      <c r="U25" s="47"/>
    </row>
    <row r="26" spans="1:23">
      <c r="A26" s="2" t="s">
        <v>388</v>
      </c>
      <c r="C26" s="4" t="s">
        <v>136</v>
      </c>
      <c r="D26" s="2"/>
      <c r="G26" s="458">
        <f>'[32]gas customers'!C14</f>
        <v>17580</v>
      </c>
      <c r="H26" s="458">
        <f>'[32]gas customers'!D14</f>
        <v>17591</v>
      </c>
      <c r="I26" s="458">
        <f>'[32]gas customers'!E14</f>
        <v>17710</v>
      </c>
      <c r="J26" s="458">
        <f>'[32]gas customers'!F14</f>
        <v>17473</v>
      </c>
      <c r="K26" s="458">
        <f>'[32]gas customers'!G14</f>
        <v>17699</v>
      </c>
      <c r="L26" s="107"/>
      <c r="M26" s="458">
        <f>'[6]Summary of Stats'!O12</f>
        <v>17323.916666666668</v>
      </c>
      <c r="O26" s="458">
        <f>'[6]Summary of Stats'!AF12</f>
        <v>17323.916666666668</v>
      </c>
      <c r="Q26" s="458">
        <f>'[6]Summary of Stats'!AI12</f>
        <v>17323.916666666664</v>
      </c>
      <c r="R26" s="458">
        <f>'[6]Summary of Stats'!AJ12</f>
        <v>17323.916666666664</v>
      </c>
      <c r="S26" s="458">
        <f>'[6]Summary of Stats'!AK12</f>
        <v>17323.916666666664</v>
      </c>
      <c r="T26" s="853"/>
      <c r="U26" s="47"/>
    </row>
    <row r="27" spans="1:23">
      <c r="A27" s="2">
        <v>11</v>
      </c>
      <c r="C27" s="4" t="s">
        <v>137</v>
      </c>
      <c r="D27" s="2"/>
      <c r="G27" s="458">
        <f>'[32]gas customers'!C15</f>
        <v>193</v>
      </c>
      <c r="H27" s="458">
        <f>'[32]gas customers'!D15</f>
        <v>208</v>
      </c>
      <c r="I27" s="458">
        <f>'[32]gas customers'!E15</f>
        <v>201</v>
      </c>
      <c r="J27" s="458">
        <f>'[32]gas customers'!F15</f>
        <v>198</v>
      </c>
      <c r="K27" s="458">
        <f>'[32]gas customers'!G15</f>
        <v>209</v>
      </c>
      <c r="L27" s="107"/>
      <c r="M27" s="458">
        <f>'[6]Summary of Stats'!O13</f>
        <v>206</v>
      </c>
      <c r="O27" s="458">
        <f>'[6]Summary of Stats'!AF13</f>
        <v>206</v>
      </c>
      <c r="Q27" s="458">
        <f>'[6]Summary of Stats'!AI13</f>
        <v>206</v>
      </c>
      <c r="R27" s="458">
        <f>'[6]Summary of Stats'!AJ13</f>
        <v>206</v>
      </c>
      <c r="S27" s="458">
        <f>'[6]Summary of Stats'!AK13</f>
        <v>206</v>
      </c>
      <c r="T27" s="853"/>
      <c r="U27" s="47"/>
    </row>
    <row r="28" spans="1:23">
      <c r="A28" s="2">
        <v>12</v>
      </c>
      <c r="C28" s="4" t="s">
        <v>168</v>
      </c>
      <c r="D28" s="2"/>
      <c r="G28" s="458">
        <f>'[32]gas customers'!C16</f>
        <v>1574</v>
      </c>
      <c r="H28" s="458">
        <f>'[32]gas customers'!D16</f>
        <v>1579</v>
      </c>
      <c r="I28" s="458">
        <f>'[32]gas customers'!E16</f>
        <v>1596</v>
      </c>
      <c r="J28" s="458">
        <f>'[32]gas customers'!F16</f>
        <v>1564</v>
      </c>
      <c r="K28" s="458">
        <f>'[32]gas customers'!G16</f>
        <v>1559</v>
      </c>
      <c r="L28" s="107"/>
      <c r="M28" s="458">
        <f>'[6]Summary of Stats'!O14</f>
        <v>1553.9166666666667</v>
      </c>
      <c r="O28" s="458">
        <f>'[6]Summary of Stats'!AF14</f>
        <v>1553.9166666666667</v>
      </c>
      <c r="Q28" s="458">
        <f>'[6]Summary of Stats'!AI14</f>
        <v>1553.9166666666667</v>
      </c>
      <c r="R28" s="458">
        <f>'[6]Summary of Stats'!AJ14</f>
        <v>1553.9166666666667</v>
      </c>
      <c r="S28" s="458">
        <f>'[6]Summary of Stats'!AK14</f>
        <v>1553.9166666666667</v>
      </c>
      <c r="T28" s="853"/>
      <c r="U28" s="47"/>
    </row>
    <row r="29" spans="1:23">
      <c r="A29" s="77" t="s">
        <v>332</v>
      </c>
      <c r="G29" s="99"/>
      <c r="H29" s="99"/>
      <c r="I29" s="99"/>
      <c r="J29" s="99"/>
      <c r="K29" s="99"/>
      <c r="L29" s="107"/>
      <c r="M29" s="99"/>
      <c r="O29" s="99"/>
      <c r="Q29" s="99"/>
      <c r="R29" s="99"/>
      <c r="S29" s="99"/>
      <c r="T29" s="10"/>
    </row>
    <row r="30" spans="1:23">
      <c r="A30" s="77">
        <v>13</v>
      </c>
      <c r="C30" s="4" t="s">
        <v>101</v>
      </c>
      <c r="D30" s="2"/>
      <c r="G30" s="458">
        <f>SUM(G25:G29)</f>
        <v>173830</v>
      </c>
      <c r="H30" s="458">
        <f>SUM(H25:H29)</f>
        <v>174325</v>
      </c>
      <c r="I30" s="458">
        <f>SUM(I25:I29)</f>
        <v>175666</v>
      </c>
      <c r="J30" s="458">
        <f>SUM(J25:J29)</f>
        <v>176245</v>
      </c>
      <c r="K30" s="458">
        <f>SUM(K25:K29)</f>
        <v>177389</v>
      </c>
      <c r="L30" s="107"/>
      <c r="M30" s="458">
        <f>SUM(M25:M29)</f>
        <v>174753.58333333331</v>
      </c>
      <c r="N30" s="581"/>
      <c r="O30" s="458">
        <f>SUM(O25:O29)</f>
        <v>175253.58333333331</v>
      </c>
      <c r="Q30" s="458">
        <f>SUM(Q25:Q29)</f>
        <v>175386.91666666666</v>
      </c>
      <c r="R30" s="458">
        <f>SUM(R25:R29)</f>
        <v>175786.91666666666</v>
      </c>
      <c r="S30" s="458">
        <f>SUM(S25:S29)</f>
        <v>176186.91666666666</v>
      </c>
      <c r="T30" s="10"/>
    </row>
    <row r="31" spans="1:23">
      <c r="G31" s="99"/>
      <c r="H31" s="99"/>
      <c r="I31" s="99"/>
      <c r="J31" s="99"/>
      <c r="K31" s="99"/>
      <c r="L31" s="107"/>
      <c r="M31" s="99"/>
      <c r="O31" s="99"/>
      <c r="P31" s="99"/>
      <c r="Q31" s="99"/>
      <c r="R31" s="99"/>
      <c r="S31" s="99"/>
      <c r="T31" s="10"/>
    </row>
    <row r="32" spans="1:23">
      <c r="A32" s="2">
        <v>14</v>
      </c>
      <c r="C32" s="4" t="s">
        <v>138</v>
      </c>
      <c r="G32" s="99"/>
      <c r="H32" s="99"/>
      <c r="I32" s="99"/>
      <c r="J32" s="99"/>
      <c r="K32" s="99"/>
      <c r="L32" s="107"/>
      <c r="M32" s="99"/>
      <c r="O32" s="99"/>
      <c r="P32" s="99"/>
      <c r="Q32" s="99"/>
      <c r="R32" s="99"/>
      <c r="S32" s="99"/>
      <c r="T32" s="10"/>
    </row>
    <row r="33" spans="1:20">
      <c r="A33" s="2">
        <v>15</v>
      </c>
      <c r="C33" s="4" t="s">
        <v>135</v>
      </c>
      <c r="G33" s="386">
        <f t="shared" ref="G33:J36" si="0">(G16/G25)</f>
        <v>602.5798870425873</v>
      </c>
      <c r="H33" s="386">
        <f t="shared" si="0"/>
        <v>571.11941967253313</v>
      </c>
      <c r="I33" s="386">
        <f t="shared" si="0"/>
        <v>503.52701406899365</v>
      </c>
      <c r="J33" s="386">
        <f t="shared" si="0"/>
        <v>611.77765983058407</v>
      </c>
      <c r="K33" s="386">
        <f t="shared" ref="K33" si="1">(K16/K25)</f>
        <v>730.27908993047186</v>
      </c>
      <c r="L33" s="448"/>
      <c r="M33" s="386">
        <f>(M16/M25)</f>
        <v>587.26779633849219</v>
      </c>
      <c r="N33" s="448"/>
      <c r="O33" s="386">
        <f>(O16/O25)</f>
        <v>613.58252686806134</v>
      </c>
      <c r="P33" s="386"/>
      <c r="Q33" s="386">
        <f t="shared" ref="Q33:R36" si="2">(Q16/Q25)</f>
        <v>614.48236644589122</v>
      </c>
      <c r="R33" s="386">
        <f t="shared" si="2"/>
        <v>624.50011838206922</v>
      </c>
      <c r="S33" s="386">
        <f t="shared" ref="S33" si="3">(S16/S25)</f>
        <v>630.4525053055296</v>
      </c>
      <c r="T33" s="10"/>
    </row>
    <row r="34" spans="1:20">
      <c r="A34" s="2">
        <v>16</v>
      </c>
      <c r="C34" s="4" t="s">
        <v>136</v>
      </c>
      <c r="G34" s="99">
        <f t="shared" si="0"/>
        <v>2180.4812241183158</v>
      </c>
      <c r="H34" s="99">
        <f t="shared" si="0"/>
        <v>2045.860737308851</v>
      </c>
      <c r="I34" s="99">
        <f t="shared" si="0"/>
        <v>1777.4456295878035</v>
      </c>
      <c r="J34" s="99">
        <f t="shared" si="0"/>
        <v>2285.7427757110972</v>
      </c>
      <c r="K34" s="99">
        <f t="shared" ref="K34" si="4">(K17/K26)</f>
        <v>2785.1745262444206</v>
      </c>
      <c r="L34" s="107"/>
      <c r="M34" s="99">
        <f>(M17/M26)</f>
        <v>2192.2536984593366</v>
      </c>
      <c r="O34" s="99">
        <f>(O17/O26)</f>
        <v>2301.0065210817752</v>
      </c>
      <c r="P34" s="99"/>
      <c r="Q34" s="99">
        <f t="shared" si="2"/>
        <v>2310.0448644891558</v>
      </c>
      <c r="R34" s="99">
        <f t="shared" si="2"/>
        <v>2353.4997171412774</v>
      </c>
      <c r="S34" s="99">
        <f t="shared" ref="S34" si="5">(S17/S26)</f>
        <v>2379.9479957858944</v>
      </c>
      <c r="T34" s="10"/>
    </row>
    <row r="35" spans="1:20">
      <c r="A35" s="2">
        <v>17</v>
      </c>
      <c r="C35" s="4" t="s">
        <v>137</v>
      </c>
      <c r="G35" s="99">
        <f t="shared" si="0"/>
        <v>23780.0907253886</v>
      </c>
      <c r="H35" s="99">
        <f t="shared" si="0"/>
        <v>23339.520096153843</v>
      </c>
      <c r="I35" s="99">
        <f t="shared" si="0"/>
        <v>24509.377810945276</v>
      </c>
      <c r="J35" s="99">
        <f t="shared" si="0"/>
        <v>24226.692777777778</v>
      </c>
      <c r="K35" s="99">
        <f t="shared" ref="K35" si="6">(K18/K27)</f>
        <v>27970.221818181821</v>
      </c>
      <c r="L35" s="107"/>
      <c r="M35" s="99">
        <f>(M18/M27)</f>
        <v>25905.477845697686</v>
      </c>
      <c r="O35" s="99">
        <f>(O18/O27)</f>
        <v>23691.879804733791</v>
      </c>
      <c r="P35" s="99"/>
      <c r="Q35" s="99">
        <f t="shared" si="2"/>
        <v>23877.222211691613</v>
      </c>
      <c r="R35" s="99">
        <f t="shared" si="2"/>
        <v>24519.602672167854</v>
      </c>
      <c r="S35" s="99">
        <f t="shared" ref="S35" si="7">(S18/S27)</f>
        <v>24924.312198348998</v>
      </c>
      <c r="T35" s="10"/>
    </row>
    <row r="36" spans="1:20">
      <c r="A36" s="2">
        <v>18</v>
      </c>
      <c r="C36" s="4" t="s">
        <v>168</v>
      </c>
      <c r="G36" s="99">
        <f t="shared" si="0"/>
        <v>5435.4559720457437</v>
      </c>
      <c r="H36" s="99">
        <f t="shared" si="0"/>
        <v>4801.8787777074094</v>
      </c>
      <c r="I36" s="99">
        <f t="shared" si="0"/>
        <v>4169.0593609022562</v>
      </c>
      <c r="J36" s="99">
        <f t="shared" si="0"/>
        <v>5162.2724488491049</v>
      </c>
      <c r="K36" s="99">
        <f t="shared" ref="K36" si="8">(K19/K28)</f>
        <v>6208.8565875561253</v>
      </c>
      <c r="L36" s="107"/>
      <c r="M36" s="99">
        <f>(M19/M28)</f>
        <v>4456.0275645511338</v>
      </c>
      <c r="O36" s="99">
        <f>(O19/O28)</f>
        <v>4626.7661568952681</v>
      </c>
      <c r="P36" s="99"/>
      <c r="Q36" s="99">
        <f t="shared" si="2"/>
        <v>4645.34343841604</v>
      </c>
      <c r="R36" s="99">
        <f t="shared" si="2"/>
        <v>4749.2440846894433</v>
      </c>
      <c r="S36" s="99">
        <f t="shared" ref="S36" si="9">(S19/S28)</f>
        <v>4811.9144220301587</v>
      </c>
      <c r="T36" s="10"/>
    </row>
    <row r="37" spans="1:20">
      <c r="H37" s="10"/>
      <c r="I37" s="10"/>
      <c r="J37" s="10"/>
      <c r="K37" s="10"/>
      <c r="M37" s="99"/>
    </row>
    <row r="38" spans="1:20">
      <c r="A38" s="4"/>
      <c r="C38" s="4" t="s">
        <v>1253</v>
      </c>
      <c r="G38" s="10"/>
      <c r="H38" s="10"/>
      <c r="I38" s="10"/>
      <c r="J38" s="10"/>
      <c r="K38" s="10"/>
      <c r="M38" s="99"/>
      <c r="O38" s="99"/>
      <c r="P38" s="99"/>
      <c r="Q38" s="10"/>
      <c r="R38" s="10"/>
      <c r="S38" s="10"/>
      <c r="T38" s="10"/>
    </row>
    <row r="39" spans="1:20">
      <c r="C39" s="4"/>
      <c r="G39" s="10"/>
      <c r="H39" s="10"/>
      <c r="I39" s="10"/>
      <c r="J39" s="10"/>
      <c r="K39" s="10"/>
      <c r="M39" s="99"/>
      <c r="O39" s="99"/>
      <c r="P39" s="99"/>
      <c r="Q39" s="10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A48"/>
      <c r="B48"/>
      <c r="C48"/>
      <c r="D48"/>
      <c r="E48"/>
      <c r="F48"/>
      <c r="G48"/>
      <c r="H48"/>
      <c r="I48"/>
      <c r="J48"/>
      <c r="K48"/>
      <c r="L48"/>
      <c r="M48" s="106"/>
      <c r="N48" s="106"/>
      <c r="O48" s="106"/>
      <c r="P48" s="106"/>
      <c r="Q48"/>
    </row>
    <row r="49" spans="1:17">
      <c r="A49"/>
      <c r="B49"/>
      <c r="C49"/>
      <c r="D49"/>
      <c r="E49"/>
      <c r="F49"/>
      <c r="G49"/>
      <c r="H49"/>
      <c r="I49"/>
      <c r="J49"/>
      <c r="K49"/>
      <c r="L49"/>
      <c r="M49" s="106"/>
      <c r="N49" s="106"/>
      <c r="O49" s="106"/>
      <c r="P49" s="106"/>
      <c r="Q49"/>
    </row>
    <row r="50" spans="1:17">
      <c r="A50"/>
      <c r="B50"/>
      <c r="C50"/>
      <c r="D50"/>
      <c r="E50"/>
      <c r="F50"/>
      <c r="G50"/>
      <c r="H50"/>
      <c r="I50"/>
      <c r="J50"/>
      <c r="K50"/>
      <c r="L50"/>
      <c r="M50" s="106"/>
      <c r="N50" s="106"/>
      <c r="O50" s="106"/>
      <c r="P50" s="106"/>
      <c r="Q50"/>
    </row>
    <row r="51" spans="1:17">
      <c r="A51"/>
      <c r="B51"/>
      <c r="C51"/>
      <c r="D51"/>
      <c r="E51"/>
      <c r="F51"/>
      <c r="G51"/>
      <c r="H51"/>
      <c r="I51"/>
      <c r="J51"/>
      <c r="K51"/>
      <c r="L51"/>
      <c r="M51" s="106"/>
      <c r="N51" s="106"/>
      <c r="O51" s="106"/>
      <c r="P51" s="106"/>
      <c r="Q51"/>
    </row>
    <row r="52" spans="1:17">
      <c r="A52"/>
      <c r="B52"/>
      <c r="C52"/>
      <c r="D52"/>
      <c r="E52"/>
      <c r="F52"/>
      <c r="G52"/>
      <c r="H52"/>
      <c r="I52"/>
      <c r="J52"/>
      <c r="K52"/>
      <c r="L52"/>
      <c r="M52" s="106"/>
      <c r="N52" s="106"/>
      <c r="O52" s="106"/>
      <c r="P52" s="106"/>
      <c r="Q52"/>
    </row>
    <row r="53" spans="1:17">
      <c r="A53"/>
      <c r="B53"/>
      <c r="C53"/>
      <c r="D53"/>
      <c r="E53"/>
      <c r="F53"/>
      <c r="G53"/>
      <c r="H53"/>
      <c r="I53"/>
      <c r="J53"/>
      <c r="K53"/>
      <c r="L53"/>
      <c r="M53" s="106"/>
      <c r="N53" s="106"/>
      <c r="O53" s="106"/>
      <c r="P53" s="106"/>
      <c r="Q53"/>
    </row>
    <row r="54" spans="1:17">
      <c r="A54"/>
      <c r="B54"/>
      <c r="C54"/>
      <c r="D54"/>
      <c r="E54"/>
      <c r="F54"/>
      <c r="G54"/>
      <c r="H54"/>
      <c r="I54"/>
      <c r="J54"/>
      <c r="K54"/>
      <c r="L54"/>
      <c r="M54" s="106"/>
      <c r="N54" s="106"/>
      <c r="O54" s="106"/>
      <c r="P54" s="106"/>
      <c r="Q54"/>
    </row>
    <row r="55" spans="1:17">
      <c r="A55"/>
      <c r="B55"/>
      <c r="C55"/>
      <c r="D55"/>
      <c r="E55"/>
      <c r="F55"/>
      <c r="G55"/>
      <c r="H55"/>
      <c r="I55"/>
      <c r="J55"/>
      <c r="K55"/>
      <c r="L55"/>
      <c r="M55" s="106"/>
      <c r="N55" s="106"/>
      <c r="O55" s="106"/>
      <c r="P55" s="106"/>
      <c r="Q55"/>
    </row>
    <row r="56" spans="1:17">
      <c r="A56"/>
      <c r="B56"/>
      <c r="C56"/>
      <c r="D56"/>
      <c r="E56"/>
      <c r="F56"/>
      <c r="G56"/>
      <c r="H56"/>
      <c r="I56"/>
      <c r="J56"/>
      <c r="K56"/>
      <c r="L56"/>
      <c r="M56" s="106"/>
      <c r="N56" s="106"/>
      <c r="O56" s="106"/>
      <c r="P56" s="106"/>
      <c r="Q56"/>
    </row>
    <row r="57" spans="1:17">
      <c r="A57"/>
      <c r="B57"/>
      <c r="C57"/>
      <c r="D57"/>
      <c r="E57"/>
      <c r="F57"/>
      <c r="G57"/>
      <c r="H57"/>
      <c r="I57"/>
      <c r="J57"/>
      <c r="K57"/>
      <c r="L57"/>
      <c r="M57" s="106"/>
      <c r="N57" s="106"/>
      <c r="O57" s="106"/>
      <c r="P57" s="106"/>
      <c r="Q57"/>
    </row>
    <row r="58" spans="1:17">
      <c r="A58"/>
      <c r="B58"/>
      <c r="C58"/>
      <c r="D58"/>
      <c r="E58"/>
      <c r="F58"/>
      <c r="G58"/>
      <c r="H58"/>
      <c r="I58"/>
      <c r="J58"/>
      <c r="K58"/>
      <c r="L58"/>
      <c r="M58" s="106"/>
      <c r="N58" s="106"/>
      <c r="O58" s="106"/>
      <c r="P58" s="106"/>
      <c r="Q58"/>
    </row>
    <row r="59" spans="1:17">
      <c r="A59"/>
      <c r="B59"/>
      <c r="C59"/>
      <c r="D59"/>
      <c r="E59"/>
      <c r="F59"/>
      <c r="G59"/>
      <c r="H59"/>
      <c r="I59"/>
      <c r="J59"/>
      <c r="K59"/>
      <c r="L59"/>
      <c r="M59" s="106"/>
      <c r="N59" s="106"/>
      <c r="O59" s="106"/>
      <c r="P59" s="106"/>
      <c r="Q59"/>
    </row>
    <row r="60" spans="1:17">
      <c r="A60"/>
      <c r="B60"/>
      <c r="C60"/>
      <c r="D60"/>
      <c r="E60"/>
      <c r="F60"/>
      <c r="G60"/>
      <c r="H60"/>
      <c r="I60"/>
      <c r="J60"/>
      <c r="K60"/>
      <c r="L60"/>
      <c r="M60" s="106"/>
      <c r="N60" s="106"/>
      <c r="O60" s="106"/>
      <c r="P60" s="106"/>
      <c r="Q60"/>
    </row>
    <row r="61" spans="1:17">
      <c r="A61"/>
      <c r="B61"/>
      <c r="C61"/>
      <c r="D61"/>
      <c r="E61"/>
      <c r="F61"/>
      <c r="G61"/>
      <c r="H61"/>
      <c r="I61"/>
      <c r="J61"/>
      <c r="K61"/>
      <c r="L61"/>
      <c r="M61" s="106"/>
      <c r="N61" s="106"/>
      <c r="O61" s="106"/>
      <c r="P61" s="106"/>
      <c r="Q61"/>
    </row>
    <row r="62" spans="1:17">
      <c r="A62"/>
      <c r="B62"/>
      <c r="C62"/>
      <c r="D62"/>
      <c r="E62"/>
      <c r="F62"/>
      <c r="G62"/>
      <c r="H62"/>
      <c r="I62"/>
      <c r="J62"/>
      <c r="K62"/>
      <c r="L62"/>
      <c r="M62" s="106"/>
      <c r="N62" s="106"/>
      <c r="O62" s="106"/>
      <c r="P62" s="106"/>
      <c r="Q62"/>
    </row>
    <row r="63" spans="1:17">
      <c r="A63"/>
      <c r="B63"/>
      <c r="C63"/>
      <c r="D63"/>
      <c r="E63"/>
      <c r="F63"/>
      <c r="G63"/>
      <c r="H63"/>
      <c r="I63"/>
      <c r="J63"/>
      <c r="K63"/>
      <c r="L63"/>
      <c r="M63" s="106"/>
      <c r="N63" s="106"/>
      <c r="O63" s="106"/>
      <c r="P63" s="106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L64"/>
      <c r="M64" s="106"/>
      <c r="N64" s="106"/>
      <c r="O64" s="106"/>
      <c r="P64" s="106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L65"/>
      <c r="M65" s="106"/>
      <c r="N65" s="106"/>
      <c r="O65" s="106"/>
      <c r="P65" s="106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L66"/>
      <c r="M66" s="106"/>
      <c r="N66" s="106"/>
      <c r="O66" s="106"/>
      <c r="P66" s="106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L67"/>
      <c r="M67" s="106"/>
      <c r="N67" s="106"/>
      <c r="O67" s="106"/>
      <c r="P67" s="106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L68"/>
      <c r="M68" s="106"/>
      <c r="N68" s="106"/>
      <c r="O68" s="106"/>
      <c r="P68" s="106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L69"/>
      <c r="M69" s="106"/>
      <c r="N69" s="106"/>
      <c r="O69" s="106"/>
      <c r="P69" s="106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L70"/>
      <c r="M70" s="106"/>
      <c r="N70" s="106"/>
      <c r="O70" s="106"/>
      <c r="P70" s="106"/>
      <c r="Q70"/>
    </row>
    <row r="71" spans="1:17">
      <c r="I71" s="10"/>
      <c r="J71" s="10"/>
      <c r="K71" s="10"/>
    </row>
    <row r="72" spans="1:17">
      <c r="I72" s="10"/>
      <c r="J72" s="10"/>
      <c r="K72" s="10"/>
    </row>
    <row r="73" spans="1:17">
      <c r="I73" s="10"/>
      <c r="J73" s="10"/>
      <c r="K73" s="10"/>
    </row>
    <row r="74" spans="1:17">
      <c r="I74" s="10"/>
      <c r="J74" s="10"/>
      <c r="K74" s="10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4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Normal="100" zoomScaleSheetLayoutView="100" workbookViewId="0">
      <selection activeCell="F25" sqref="F25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230" t="str">
        <f>'Table of Contents'!A1:C1</f>
        <v>Atmos Energy Corporation, Kentucky/Mid-States Division</v>
      </c>
      <c r="B1" s="40"/>
      <c r="C1" s="40"/>
      <c r="D1" s="40"/>
      <c r="E1" s="40"/>
      <c r="F1" s="40"/>
    </row>
    <row r="2" spans="1:13">
      <c r="A2" s="230" t="str">
        <f>'Table of Contents'!A2:C2</f>
        <v>Kentucky Jurisdiction Case No. 2015-00343</v>
      </c>
      <c r="B2" s="40"/>
      <c r="C2" s="40"/>
      <c r="D2" s="40"/>
      <c r="E2" s="40"/>
      <c r="F2" s="40"/>
    </row>
    <row r="3" spans="1:13">
      <c r="A3" s="43" t="s">
        <v>1131</v>
      </c>
      <c r="B3" s="40"/>
      <c r="C3" s="40"/>
      <c r="D3" s="40"/>
      <c r="E3" s="40"/>
      <c r="F3" s="40"/>
    </row>
    <row r="4" spans="1:13">
      <c r="A4" s="43" t="s">
        <v>1452</v>
      </c>
      <c r="B4" s="40"/>
      <c r="C4" s="40"/>
      <c r="D4" s="40"/>
      <c r="E4" s="40"/>
      <c r="F4" s="40"/>
    </row>
    <row r="6" spans="1:13">
      <c r="A6" s="4" t="s">
        <v>153</v>
      </c>
      <c r="F6" s="1" t="s">
        <v>1511</v>
      </c>
      <c r="H6" s="883"/>
      <c r="I6" s="883"/>
      <c r="J6" s="883"/>
      <c r="K6" s="883"/>
      <c r="L6" s="883"/>
    </row>
    <row r="7" spans="1:13">
      <c r="A7" s="4" t="str">
        <f>A.1!A8</f>
        <v>Type of Filing:___X____Original________Updated ________Revised</v>
      </c>
      <c r="F7" s="4" t="s">
        <v>763</v>
      </c>
      <c r="H7" s="883"/>
      <c r="I7" s="883"/>
      <c r="J7" s="883"/>
      <c r="K7" s="883"/>
      <c r="L7" s="883"/>
    </row>
    <row r="8" spans="1:13">
      <c r="A8" s="5" t="s">
        <v>440</v>
      </c>
      <c r="B8" s="6"/>
      <c r="C8" s="6"/>
      <c r="D8" s="6"/>
      <c r="E8" s="45"/>
      <c r="F8" s="5" t="str">
        <f>'B.1 B'!F8</f>
        <v>Witness:   Waller</v>
      </c>
      <c r="H8" s="883"/>
      <c r="I8" s="883"/>
      <c r="J8" s="883"/>
      <c r="K8" s="883"/>
      <c r="L8" s="883"/>
    </row>
    <row r="9" spans="1:13">
      <c r="F9" s="2"/>
      <c r="H9" s="883"/>
      <c r="I9" s="883"/>
      <c r="J9" s="883"/>
      <c r="K9" s="883"/>
      <c r="L9" s="883"/>
    </row>
    <row r="10" spans="1:13">
      <c r="C10" s="2" t="s">
        <v>1206</v>
      </c>
      <c r="D10" s="2" t="s">
        <v>44</v>
      </c>
      <c r="F10" s="2" t="s">
        <v>44</v>
      </c>
      <c r="H10" s="883"/>
      <c r="I10" s="967"/>
      <c r="J10" s="883"/>
      <c r="K10" s="883"/>
      <c r="L10" s="883"/>
      <c r="M10" s="883"/>
    </row>
    <row r="11" spans="1:13">
      <c r="A11" s="2" t="s">
        <v>98</v>
      </c>
      <c r="C11" s="2" t="s">
        <v>63</v>
      </c>
      <c r="D11" s="2" t="s">
        <v>325</v>
      </c>
      <c r="F11" s="2" t="s">
        <v>325</v>
      </c>
      <c r="H11" s="883"/>
      <c r="I11" s="883"/>
      <c r="J11" s="883"/>
      <c r="K11" s="883"/>
      <c r="L11" s="883"/>
      <c r="M11" s="883"/>
    </row>
    <row r="12" spans="1:13">
      <c r="A12" s="9" t="s">
        <v>104</v>
      </c>
      <c r="B12" s="5" t="s">
        <v>1209</v>
      </c>
      <c r="C12" s="9" t="s">
        <v>106</v>
      </c>
      <c r="D12" s="9" t="s">
        <v>326</v>
      </c>
      <c r="E12" s="6"/>
      <c r="F12" s="9" t="s">
        <v>527</v>
      </c>
      <c r="H12" s="883"/>
      <c r="I12" s="967"/>
      <c r="J12" s="883"/>
      <c r="K12" s="883"/>
      <c r="L12" s="883"/>
      <c r="M12" s="883"/>
    </row>
    <row r="13" spans="1:13">
      <c r="D13" s="2"/>
      <c r="F13" s="2"/>
      <c r="H13" s="883"/>
      <c r="I13" s="967"/>
      <c r="J13" s="883"/>
      <c r="K13" s="883"/>
      <c r="L13" s="883"/>
      <c r="M13" s="883"/>
    </row>
    <row r="14" spans="1:13">
      <c r="H14" s="883"/>
      <c r="I14" s="967"/>
      <c r="J14" s="883"/>
      <c r="K14" s="883"/>
      <c r="L14" s="883"/>
      <c r="M14" s="883"/>
    </row>
    <row r="15" spans="1:13">
      <c r="A15" s="2">
        <v>1</v>
      </c>
      <c r="B15" s="4" t="s">
        <v>172</v>
      </c>
      <c r="C15" s="2" t="s">
        <v>709</v>
      </c>
      <c r="D15" s="386">
        <f>'B.2 F'!I230</f>
        <v>569988682.18807673</v>
      </c>
      <c r="E15" s="99"/>
      <c r="F15" s="386">
        <f>'B.2 F'!N230</f>
        <v>552599039.91804004</v>
      </c>
      <c r="G15" s="107"/>
      <c r="H15" s="968"/>
      <c r="I15" s="967"/>
      <c r="J15" s="883"/>
      <c r="K15" s="883"/>
      <c r="L15" s="883"/>
      <c r="M15" s="883"/>
    </row>
    <row r="16" spans="1:13">
      <c r="A16" s="2">
        <f>A15+1</f>
        <v>2</v>
      </c>
      <c r="B16" s="4" t="s">
        <v>506</v>
      </c>
      <c r="C16" s="2" t="s">
        <v>709</v>
      </c>
      <c r="D16" s="99">
        <f>'B.2 F'!I232</f>
        <v>14731738.637158927</v>
      </c>
      <c r="E16" s="99"/>
      <c r="F16" s="99">
        <f>'B.2 F'!N232</f>
        <v>14731738.637158928</v>
      </c>
      <c r="G16" s="107"/>
      <c r="H16" s="968"/>
      <c r="I16" s="967"/>
      <c r="J16" s="883"/>
      <c r="K16" s="883"/>
      <c r="L16" s="883"/>
      <c r="M16" s="883"/>
    </row>
    <row r="17" spans="1:13">
      <c r="A17" s="2">
        <f>A16+1</f>
        <v>3</v>
      </c>
      <c r="B17" s="4" t="s">
        <v>544</v>
      </c>
      <c r="C17" s="2" t="s">
        <v>710</v>
      </c>
      <c r="D17" s="112">
        <f>-'B.3 F'!I230</f>
        <v>-185995468.26051512</v>
      </c>
      <c r="E17" s="99"/>
      <c r="F17" s="112">
        <f>-'B.3 F'!N230</f>
        <v>-179617428.08959511</v>
      </c>
      <c r="G17" s="107"/>
      <c r="H17" s="968"/>
      <c r="I17" s="967"/>
      <c r="J17" s="883"/>
      <c r="K17" s="883"/>
      <c r="L17" s="883"/>
      <c r="M17" s="883"/>
    </row>
    <row r="18" spans="1:13">
      <c r="A18" s="963"/>
      <c r="B18" s="4"/>
      <c r="C18" s="963"/>
      <c r="D18" s="103"/>
      <c r="E18" s="99"/>
      <c r="F18" s="103"/>
      <c r="G18" s="107"/>
      <c r="H18" s="968"/>
      <c r="I18" s="967"/>
      <c r="J18" s="883"/>
      <c r="K18" s="883"/>
      <c r="L18" s="883"/>
      <c r="M18" s="883"/>
    </row>
    <row r="19" spans="1:13">
      <c r="A19" s="2">
        <f>+A17+1</f>
        <v>4</v>
      </c>
      <c r="B19" s="4" t="s">
        <v>163</v>
      </c>
      <c r="D19" s="386">
        <f>SUM(D15:D17)</f>
        <v>398724952.56472051</v>
      </c>
      <c r="E19" s="99"/>
      <c r="F19" s="386">
        <f>SUM(F15:F17)</f>
        <v>387713350.46560383</v>
      </c>
      <c r="G19" s="107"/>
      <c r="H19" s="968"/>
      <c r="I19" s="967"/>
      <c r="J19" s="883"/>
      <c r="K19" s="883"/>
      <c r="L19" s="883"/>
      <c r="M19" s="883"/>
    </row>
    <row r="20" spans="1:13">
      <c r="A20" s="2"/>
      <c r="B20" s="4"/>
      <c r="D20" s="99"/>
      <c r="E20" s="99"/>
      <c r="F20" s="99"/>
      <c r="G20" s="107"/>
      <c r="H20" s="968"/>
      <c r="I20" s="967"/>
      <c r="J20" s="883"/>
      <c r="K20" s="883"/>
      <c r="L20" s="883"/>
      <c r="M20" s="883"/>
    </row>
    <row r="21" spans="1:13">
      <c r="A21" s="2">
        <f>A19+1</f>
        <v>5</v>
      </c>
      <c r="B21" s="4" t="s">
        <v>803</v>
      </c>
      <c r="C21" s="2" t="s">
        <v>711</v>
      </c>
      <c r="D21" s="386">
        <f>+'B.4 F'!E14</f>
        <v>3184323.5979133956</v>
      </c>
      <c r="E21" s="99"/>
      <c r="F21" s="386">
        <f>D21</f>
        <v>3184323.5979133956</v>
      </c>
      <c r="G21" s="107"/>
      <c r="H21" s="968"/>
      <c r="I21" s="967"/>
      <c r="J21" s="883"/>
      <c r="K21" s="883"/>
      <c r="L21" s="883"/>
      <c r="M21" s="883"/>
    </row>
    <row r="22" spans="1:13">
      <c r="A22" s="2">
        <f>+A21+1</f>
        <v>6</v>
      </c>
      <c r="B22" s="4" t="s">
        <v>1078</v>
      </c>
      <c r="C22" s="2" t="s">
        <v>712</v>
      </c>
      <c r="D22" s="458">
        <f>+'B.4.1 F'!F37</f>
        <v>2568084.0403489121</v>
      </c>
      <c r="E22" s="458"/>
      <c r="F22" s="458">
        <f>+'B.4.1 F'!K37</f>
        <v>8249985.0800277982</v>
      </c>
      <c r="G22" s="107"/>
      <c r="H22" s="968"/>
      <c r="I22" s="967"/>
      <c r="J22" s="883"/>
      <c r="K22" s="883"/>
      <c r="L22" s="883"/>
      <c r="M22" s="883"/>
    </row>
    <row r="23" spans="1:13">
      <c r="A23" s="2">
        <f>+A22+1</f>
        <v>7</v>
      </c>
      <c r="B23" s="4" t="s">
        <v>649</v>
      </c>
      <c r="C23" s="2" t="s">
        <v>713</v>
      </c>
      <c r="D23" s="458">
        <f>'B.6 F'!G24</f>
        <v>-1767642.4683333335</v>
      </c>
      <c r="E23" s="458"/>
      <c r="F23" s="458">
        <f>'B.6 F'!L24</f>
        <v>-1767642.4683333335</v>
      </c>
      <c r="G23" s="107"/>
      <c r="H23" s="968"/>
      <c r="I23" s="967"/>
      <c r="J23" s="883"/>
      <c r="K23" s="883"/>
      <c r="L23" s="883"/>
      <c r="M23" s="883"/>
    </row>
    <row r="24" spans="1:13">
      <c r="A24" s="1080">
        <f t="shared" ref="A24:A25" si="0">+A23+1</f>
        <v>8</v>
      </c>
      <c r="B24" s="4" t="s">
        <v>1558</v>
      </c>
      <c r="C24" s="1080" t="s">
        <v>1557</v>
      </c>
      <c r="D24" s="458">
        <f>F.6!I26+F.6!M26</f>
        <v>234454.78500000009</v>
      </c>
      <c r="E24" s="458"/>
      <c r="F24" s="458">
        <f>F.6!I27+F.6!M27</f>
        <v>368198.82250000001</v>
      </c>
      <c r="G24" s="107"/>
      <c r="H24" s="968"/>
      <c r="I24" s="967"/>
      <c r="J24" s="883"/>
      <c r="K24" s="883"/>
      <c r="L24" s="883"/>
      <c r="M24" s="883"/>
    </row>
    <row r="25" spans="1:13">
      <c r="A25" s="1080">
        <f t="shared" si="0"/>
        <v>9</v>
      </c>
      <c r="B25" s="115" t="s">
        <v>1153</v>
      </c>
      <c r="C25" s="160" t="s">
        <v>714</v>
      </c>
      <c r="D25" s="567">
        <f>'B.5 F'!G49</f>
        <v>-73833185.2273238</v>
      </c>
      <c r="E25" s="458"/>
      <c r="F25" s="567">
        <f>'B.5 F'!L53</f>
        <v>-62706105.0175552</v>
      </c>
      <c r="G25" s="107"/>
      <c r="H25" s="968"/>
      <c r="I25" s="967"/>
      <c r="J25" s="883"/>
      <c r="K25" s="883"/>
      <c r="L25" s="883"/>
      <c r="M25" s="883"/>
    </row>
    <row r="26" spans="1:13">
      <c r="A26" s="2"/>
      <c r="E26" s="107"/>
      <c r="G26" s="107"/>
      <c r="H26" s="968"/>
      <c r="I26" s="967"/>
      <c r="J26" s="883"/>
      <c r="K26" s="883"/>
      <c r="L26" s="883"/>
      <c r="M26" s="883"/>
    </row>
    <row r="27" spans="1:13" ht="15.75" thickBot="1">
      <c r="A27" s="2">
        <f>A25+1</f>
        <v>10</v>
      </c>
      <c r="B27" s="4" t="s">
        <v>164</v>
      </c>
      <c r="D27" s="388">
        <f>SUM(D19:D25)</f>
        <v>329110987.29232574</v>
      </c>
      <c r="E27" s="99"/>
      <c r="F27" s="388">
        <f>SUM(F19:F25)</f>
        <v>335042110.48015654</v>
      </c>
      <c r="G27" s="583"/>
      <c r="H27" s="969"/>
      <c r="I27" s="967"/>
      <c r="J27" s="883"/>
      <c r="K27" s="883"/>
      <c r="L27" s="883"/>
      <c r="M27" s="883"/>
    </row>
    <row r="28" spans="1:13" ht="15.75" thickTop="1">
      <c r="D28" s="10"/>
      <c r="E28" s="99"/>
      <c r="F28" s="10"/>
      <c r="G28" s="107"/>
      <c r="H28" s="968"/>
      <c r="J28" s="885"/>
      <c r="K28" s="883"/>
      <c r="L28" s="883"/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4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U74"/>
  <sheetViews>
    <sheetView view="pageBreakPreview" zoomScale="60" zoomScaleNormal="90" workbookViewId="0">
      <pane xSplit="6" ySplit="13" topLeftCell="G14" activePane="bottomRight" state="frozen"/>
      <selection activeCell="G39" sqref="G39"/>
      <selection pane="topRight" activeCell="G39" sqref="G39"/>
      <selection pane="bottomLeft" activeCell="G39" sqref="G39"/>
      <selection pane="bottomRight" activeCell="O41" sqref="O41"/>
    </sheetView>
  </sheetViews>
  <sheetFormatPr defaultColWidth="7.109375" defaultRowHeight="15"/>
  <cols>
    <col min="1" max="1" width="4" style="1" customWidth="1"/>
    <col min="2" max="2" width="0" style="1" hidden="1" customWidth="1"/>
    <col min="3" max="3" width="16.44140625" style="1" customWidth="1"/>
    <col min="4" max="4" width="5" style="1" customWidth="1"/>
    <col min="5" max="5" width="3.21875" style="1" customWidth="1"/>
    <col min="6" max="6" width="1.44140625" style="1" customWidth="1"/>
    <col min="7" max="8" width="11.44140625" style="1" customWidth="1"/>
    <col min="9" max="9" width="12.88671875" style="1" customWidth="1"/>
    <col min="10" max="11" width="11.44140625" style="1" customWidth="1"/>
    <col min="12" max="12" width="1.44140625" style="1" customWidth="1"/>
    <col min="13" max="13" width="12.109375" style="107" customWidth="1"/>
    <col min="14" max="14" width="1.44140625" style="107" customWidth="1"/>
    <col min="15" max="15" width="12.88671875" style="107" customWidth="1"/>
    <col min="16" max="16" width="1.5546875" style="107" customWidth="1"/>
    <col min="17" max="17" width="12.33203125" style="1" customWidth="1"/>
    <col min="18" max="19" width="12.88671875" style="1" customWidth="1"/>
    <col min="20" max="20" width="9.33203125" style="1" customWidth="1"/>
    <col min="21" max="16384" width="7.109375" style="1"/>
  </cols>
  <sheetData>
    <row r="1" spans="1:21">
      <c r="A1" s="1272" t="str">
        <f>'Table of Contents'!A1:C1</f>
        <v>Atmos Energy Corporation, Kentucky/Mid-States Division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1272"/>
      <c r="O1" s="1272"/>
      <c r="P1" s="1272"/>
      <c r="Q1" s="1272"/>
      <c r="R1" s="1272"/>
      <c r="S1" s="977"/>
    </row>
    <row r="2" spans="1:21">
      <c r="A2" s="1272" t="str">
        <f>'Table of Contents'!A2:C2</f>
        <v>Kentucky Jurisdiction Case No. 2015-00343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  <c r="N2" s="1272"/>
      <c r="O2" s="1272"/>
      <c r="P2" s="1272"/>
      <c r="Q2" s="1272"/>
      <c r="R2" s="1272"/>
      <c r="S2" s="977"/>
    </row>
    <row r="3" spans="1:21">
      <c r="A3" s="1272" t="s">
        <v>1156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  <c r="P3" s="1272"/>
      <c r="Q3" s="1272"/>
      <c r="R3" s="1272"/>
      <c r="S3" s="977"/>
    </row>
    <row r="4" spans="1:21">
      <c r="A4" s="1272" t="str">
        <f>'Table of Contents'!A3:C3</f>
        <v>Base Period: Twelve Months Ended February 29, 2016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977"/>
    </row>
    <row r="5" spans="1:21">
      <c r="A5" s="1272" t="str">
        <f>'Table of Contents'!A4:C4</f>
        <v>Forecasted Test Period: Twelve Months Ended May 31, 2017</v>
      </c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  <c r="M5" s="1272"/>
      <c r="N5" s="1272"/>
      <c r="O5" s="1272"/>
      <c r="P5" s="1272"/>
      <c r="Q5" s="1272"/>
      <c r="R5" s="1272"/>
      <c r="S5" s="977"/>
    </row>
    <row r="7" spans="1:21">
      <c r="A7" s="4" t="s">
        <v>696</v>
      </c>
      <c r="R7" s="48" t="s">
        <v>1535</v>
      </c>
    </row>
    <row r="8" spans="1:21">
      <c r="A8" s="4" t="s">
        <v>555</v>
      </c>
      <c r="R8" s="4" t="s">
        <v>1157</v>
      </c>
    </row>
    <row r="9" spans="1:21">
      <c r="A9" s="5" t="s">
        <v>1154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07"/>
      <c r="N9" s="207"/>
      <c r="O9" s="207"/>
      <c r="P9" s="207"/>
      <c r="Q9" s="207"/>
      <c r="R9" s="5" t="str">
        <f>I.2!R9</f>
        <v>Witness: Schneider, Smith</v>
      </c>
      <c r="S9" s="47"/>
    </row>
    <row r="10" spans="1:21">
      <c r="M10" s="160" t="s">
        <v>45</v>
      </c>
      <c r="O10" s="160" t="s">
        <v>44</v>
      </c>
      <c r="P10" s="898"/>
    </row>
    <row r="11" spans="1:21">
      <c r="A11" s="4" t="s">
        <v>98</v>
      </c>
      <c r="E11" s="107"/>
      <c r="F11" s="107"/>
      <c r="G11" s="1177"/>
      <c r="H11" s="586"/>
      <c r="I11" s="586" t="s">
        <v>1182</v>
      </c>
      <c r="J11" s="836"/>
      <c r="K11" s="836"/>
      <c r="L11" s="130"/>
      <c r="M11" s="165" t="s">
        <v>553</v>
      </c>
      <c r="N11" s="130"/>
      <c r="O11" s="165" t="s">
        <v>553</v>
      </c>
      <c r="P11" s="165"/>
      <c r="Q11" s="1271" t="s">
        <v>1051</v>
      </c>
      <c r="R11" s="1271"/>
      <c r="S11" s="1271"/>
    </row>
    <row r="12" spans="1:21">
      <c r="A12" s="5" t="s">
        <v>61</v>
      </c>
      <c r="B12" s="6"/>
      <c r="C12" s="9" t="s">
        <v>1004</v>
      </c>
      <c r="D12" s="6"/>
      <c r="E12" s="207"/>
      <c r="F12" s="207"/>
      <c r="G12" s="852" t="str">
        <f>I.1!D13</f>
        <v>2010</v>
      </c>
      <c r="H12" s="852" t="str">
        <f>I.1!E13</f>
        <v>2011</v>
      </c>
      <c r="I12" s="852" t="str">
        <f>I.1!F13</f>
        <v>2012</v>
      </c>
      <c r="J12" s="852" t="str">
        <f>I.1!G13</f>
        <v>2013</v>
      </c>
      <c r="K12" s="852" t="str">
        <f>I.1!H13</f>
        <v>2014</v>
      </c>
      <c r="L12" s="1196"/>
      <c r="M12" s="1197">
        <f>I.1!J13</f>
        <v>42429</v>
      </c>
      <c r="N12" s="1198"/>
      <c r="O12" s="1197">
        <f>I.1!L13</f>
        <v>42886</v>
      </c>
      <c r="P12" s="1199"/>
      <c r="Q12" s="852">
        <f>I.2!Q12</f>
        <v>2017</v>
      </c>
      <c r="R12" s="852" t="str">
        <f>I.2!R12</f>
        <v>2018</v>
      </c>
      <c r="S12" s="852" t="str">
        <f>I.2!S12</f>
        <v>2019</v>
      </c>
    </row>
    <row r="13" spans="1:21">
      <c r="G13" s="165" t="s">
        <v>580</v>
      </c>
      <c r="H13" s="165" t="s">
        <v>580</v>
      </c>
      <c r="I13" s="165" t="s">
        <v>580</v>
      </c>
      <c r="J13" s="165" t="s">
        <v>580</v>
      </c>
      <c r="K13" s="165"/>
      <c r="L13" s="130"/>
      <c r="M13" s="165" t="s">
        <v>580</v>
      </c>
      <c r="N13" s="130"/>
      <c r="O13" s="165" t="s">
        <v>580</v>
      </c>
      <c r="P13" s="165"/>
      <c r="Q13" s="165" t="s">
        <v>580</v>
      </c>
      <c r="R13" s="165" t="s">
        <v>580</v>
      </c>
      <c r="S13" s="165"/>
    </row>
    <row r="14" spans="1:21"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21">
      <c r="A15" s="2">
        <v>1</v>
      </c>
      <c r="C15" s="4" t="s">
        <v>350</v>
      </c>
      <c r="G15" s="130"/>
      <c r="H15" s="130"/>
      <c r="I15" s="130"/>
      <c r="J15" s="130"/>
      <c r="K15" s="130"/>
      <c r="L15" s="130"/>
      <c r="M15" s="130" t="s">
        <v>332</v>
      </c>
      <c r="N15" s="130"/>
      <c r="O15" s="130"/>
      <c r="P15" s="130"/>
      <c r="Q15" s="130"/>
      <c r="R15" s="130"/>
      <c r="S15" s="130"/>
      <c r="T15" s="10"/>
      <c r="U15" s="1060"/>
    </row>
    <row r="16" spans="1:21">
      <c r="A16" s="2">
        <v>2</v>
      </c>
      <c r="C16" s="4" t="s">
        <v>135</v>
      </c>
      <c r="G16" s="136">
        <f>[32]vols!C13</f>
        <v>10707476.32</v>
      </c>
      <c r="H16" s="136">
        <f>[32]vols!D13</f>
        <v>10405428.16</v>
      </c>
      <c r="I16" s="136">
        <f>[32]vols!E13</f>
        <v>8369577.9699999997</v>
      </c>
      <c r="J16" s="136">
        <f>[32]vols!F13</f>
        <v>10662876.41</v>
      </c>
      <c r="K16" s="136">
        <f>[32]vols!G13</f>
        <v>11757006.99</v>
      </c>
      <c r="L16" s="130"/>
      <c r="M16" s="136">
        <f>'[6]Summary of Stats'!O17</f>
        <v>10302984.841957554</v>
      </c>
      <c r="N16" s="130"/>
      <c r="O16" s="136">
        <f>'[6]Summary of Stats'!AF17</f>
        <v>10336506.97122786</v>
      </c>
      <c r="P16" s="130"/>
      <c r="Q16" s="136">
        <f>'[6]Summary of Stats'!AI17</f>
        <v>10338382.30805376</v>
      </c>
      <c r="R16" s="136">
        <f>'[6]Summary of Stats'!AJ17</f>
        <v>10364848.90313147</v>
      </c>
      <c r="S16" s="136">
        <f>'[6]Summary of Stats'!AK17</f>
        <v>10391315.009909181</v>
      </c>
      <c r="T16" s="853"/>
    </row>
    <row r="17" spans="1:21">
      <c r="A17" s="2">
        <v>3</v>
      </c>
      <c r="C17" s="4" t="s">
        <v>136</v>
      </c>
      <c r="D17" s="2"/>
      <c r="G17" s="136">
        <f>[32]vols!C14</f>
        <v>4946029.68</v>
      </c>
      <c r="H17" s="136">
        <f>[32]vols!D14</f>
        <v>4737930.03</v>
      </c>
      <c r="I17" s="136">
        <f>[32]vols!E14</f>
        <v>3946439.65</v>
      </c>
      <c r="J17" s="136">
        <f>[32]vols!F14</f>
        <v>5112547.93</v>
      </c>
      <c r="K17" s="136">
        <f>[32]vols!G14</f>
        <v>5657641.1699999999</v>
      </c>
      <c r="L17" s="130"/>
      <c r="M17" s="136">
        <f>'[6]Summary of Stats'!O18</f>
        <v>5105607.2176999999</v>
      </c>
      <c r="N17" s="130"/>
      <c r="O17" s="136">
        <f>'[6]Summary of Stats'!AF18</f>
        <v>5105607.2177000009</v>
      </c>
      <c r="P17" s="130"/>
      <c r="Q17" s="136">
        <f>'[6]Summary of Stats'!AI18</f>
        <v>5105607.2177000009</v>
      </c>
      <c r="R17" s="136">
        <f>'[6]Summary of Stats'!AJ18</f>
        <v>5105607.2177000009</v>
      </c>
      <c r="S17" s="136">
        <f>'[6]Summary of Stats'!AK18</f>
        <v>5105607.2177000009</v>
      </c>
      <c r="T17" s="853"/>
    </row>
    <row r="18" spans="1:21">
      <c r="A18" s="2">
        <v>4</v>
      </c>
      <c r="C18" s="4" t="s">
        <v>137</v>
      </c>
      <c r="D18" s="2"/>
      <c r="G18" s="136">
        <f>[32]vols!C15</f>
        <v>724157.07000000007</v>
      </c>
      <c r="H18" s="136">
        <f>[32]vols!D15</f>
        <v>821135.42999999993</v>
      </c>
      <c r="I18" s="136">
        <f>[32]vols!E15</f>
        <v>995094.70000000019</v>
      </c>
      <c r="J18" s="136">
        <f>[32]vols!F15</f>
        <v>807005.98999999987</v>
      </c>
      <c r="K18" s="136">
        <f>[32]vols!G15</f>
        <v>780038.61999999976</v>
      </c>
      <c r="L18" s="130"/>
      <c r="M18" s="136">
        <f>'[6]Summary of Stats'!O19</f>
        <v>921685.30780000007</v>
      </c>
      <c r="N18" s="130"/>
      <c r="O18" s="136">
        <f>'[6]Summary of Stats'!AF19</f>
        <v>921685.30780000007</v>
      </c>
      <c r="P18" s="130"/>
      <c r="Q18" s="136">
        <f>'[6]Summary of Stats'!AI19</f>
        <v>921685.30780000007</v>
      </c>
      <c r="R18" s="136">
        <f>'[6]Summary of Stats'!AJ19</f>
        <v>921685.30780000007</v>
      </c>
      <c r="S18" s="136">
        <f>'[6]Summary of Stats'!AK19</f>
        <v>921685.30780000007</v>
      </c>
      <c r="T18" s="853"/>
      <c r="U18" s="1060"/>
    </row>
    <row r="19" spans="1:21">
      <c r="A19" s="2">
        <v>5</v>
      </c>
      <c r="C19" s="4" t="s">
        <v>168</v>
      </c>
      <c r="D19" s="2"/>
      <c r="G19" s="136">
        <f>[32]vols!C16</f>
        <v>1198524.27</v>
      </c>
      <c r="H19" s="136">
        <f>[32]vols!D16</f>
        <v>1125935.9900000002</v>
      </c>
      <c r="I19" s="136">
        <f>[32]vols!E16</f>
        <v>967626.79</v>
      </c>
      <c r="J19" s="136">
        <f>[32]vols!F16</f>
        <v>1185264.3900000001</v>
      </c>
      <c r="K19" s="136">
        <f>[32]vols!G16</f>
        <v>1241309.8799999999</v>
      </c>
      <c r="L19" s="130"/>
      <c r="M19" s="136">
        <f>'[6]Summary of Stats'!O20</f>
        <v>1084704.2238</v>
      </c>
      <c r="N19" s="130"/>
      <c r="O19" s="136">
        <f>'[6]Summary of Stats'!AF20</f>
        <v>1084704.2238</v>
      </c>
      <c r="P19" s="130"/>
      <c r="Q19" s="136">
        <f>'[6]Summary of Stats'!AI20</f>
        <v>1084704.2238</v>
      </c>
      <c r="R19" s="136">
        <f>'[6]Summary of Stats'!AJ20</f>
        <v>1084704.2238</v>
      </c>
      <c r="S19" s="136">
        <f>'[6]Summary of Stats'!AK20</f>
        <v>1084704.2238</v>
      </c>
      <c r="T19" s="853"/>
      <c r="U19" s="1060"/>
    </row>
    <row r="20" spans="1:21">
      <c r="A20" s="2">
        <v>6</v>
      </c>
      <c r="C20" s="4" t="s">
        <v>90</v>
      </c>
      <c r="G20" s="576"/>
      <c r="H20" s="576"/>
      <c r="I20" s="576"/>
      <c r="J20" s="576"/>
      <c r="K20" s="576"/>
      <c r="L20" s="1161"/>
      <c r="M20" s="907"/>
      <c r="N20" s="130"/>
      <c r="O20" s="907"/>
      <c r="P20" s="130"/>
      <c r="Q20" s="1177"/>
      <c r="R20" s="576"/>
      <c r="S20" s="576"/>
      <c r="T20" s="10"/>
    </row>
    <row r="21" spans="1:21">
      <c r="A21" s="2">
        <v>7</v>
      </c>
      <c r="G21" s="1200"/>
      <c r="H21" s="1200"/>
      <c r="I21" s="1200"/>
      <c r="J21" s="1200"/>
      <c r="K21" s="1200"/>
      <c r="L21" s="130"/>
      <c r="M21" s="1200"/>
      <c r="N21" s="130"/>
      <c r="O21" s="1200"/>
      <c r="P21" s="130"/>
      <c r="Q21" s="1200"/>
      <c r="R21" s="1200"/>
      <c r="S21" s="1200"/>
      <c r="T21" s="10"/>
    </row>
    <row r="22" spans="1:21">
      <c r="A22" s="2">
        <v>8</v>
      </c>
      <c r="C22" s="4" t="s">
        <v>433</v>
      </c>
      <c r="G22" s="136">
        <f>SUM(G16:G20)</f>
        <v>17576187.34</v>
      </c>
      <c r="H22" s="136">
        <f>SUM(H16:H20)</f>
        <v>17090429.609999999</v>
      </c>
      <c r="I22" s="136">
        <f>SUM(I16:I20)</f>
        <v>14278739.109999999</v>
      </c>
      <c r="J22" s="136">
        <f>SUM(J16:J20)</f>
        <v>17767694.719999999</v>
      </c>
      <c r="K22" s="136">
        <f>SUM(K16:K20)</f>
        <v>19435996.66</v>
      </c>
      <c r="L22" s="130"/>
      <c r="M22" s="136">
        <f>SUM(M16:M20)</f>
        <v>17414981.591257557</v>
      </c>
      <c r="N22" s="130"/>
      <c r="O22" s="136">
        <f>SUM(O16:O20)</f>
        <v>17448503.720527861</v>
      </c>
      <c r="P22" s="130"/>
      <c r="Q22" s="136">
        <f>SUM(Q16:Q20)</f>
        <v>17450379.057353761</v>
      </c>
      <c r="R22" s="136">
        <f>SUM(R16:R20)</f>
        <v>17476845.652431473</v>
      </c>
      <c r="S22" s="136">
        <f>SUM(S16:S20)</f>
        <v>17503311.759209182</v>
      </c>
      <c r="T22" s="10"/>
    </row>
    <row r="23" spans="1:21">
      <c r="A23" s="2">
        <v>9</v>
      </c>
      <c r="G23" s="136"/>
      <c r="H23" s="136"/>
      <c r="I23" s="136"/>
      <c r="J23" s="136"/>
      <c r="K23" s="136"/>
      <c r="L23" s="130"/>
      <c r="M23" s="136"/>
      <c r="N23" s="130"/>
      <c r="O23" s="136"/>
      <c r="P23" s="130"/>
      <c r="Q23" s="136"/>
      <c r="R23" s="136"/>
      <c r="S23" s="136"/>
      <c r="T23" s="10"/>
    </row>
    <row r="24" spans="1:21">
      <c r="A24" s="2">
        <v>10</v>
      </c>
      <c r="C24" s="4" t="s">
        <v>169</v>
      </c>
      <c r="G24" s="136"/>
      <c r="H24" s="136"/>
      <c r="I24" s="136"/>
      <c r="J24" s="136"/>
      <c r="K24" s="136"/>
      <c r="L24" s="130"/>
      <c r="M24" s="136"/>
      <c r="N24" s="130"/>
      <c r="O24" s="136"/>
      <c r="P24" s="130"/>
      <c r="Q24" s="136"/>
      <c r="R24" s="136"/>
      <c r="S24" s="136"/>
      <c r="T24" s="10"/>
    </row>
    <row r="25" spans="1:21">
      <c r="A25" s="2">
        <v>11</v>
      </c>
      <c r="C25" s="4" t="s">
        <v>135</v>
      </c>
      <c r="D25" s="2" t="s">
        <v>332</v>
      </c>
      <c r="G25" s="136">
        <f>I.2!G25</f>
        <v>154483</v>
      </c>
      <c r="H25" s="136">
        <f>I.2!H25</f>
        <v>154947</v>
      </c>
      <c r="I25" s="136">
        <f>I.2!I25</f>
        <v>156159</v>
      </c>
      <c r="J25" s="136">
        <f>I.2!J25</f>
        <v>157010</v>
      </c>
      <c r="K25" s="136">
        <f>I.2!K25</f>
        <v>157922</v>
      </c>
      <c r="L25" s="130"/>
      <c r="M25" s="136">
        <f>I.2!M25</f>
        <v>155669.75</v>
      </c>
      <c r="N25" s="130"/>
      <c r="O25" s="136">
        <f>I.2!O25</f>
        <v>156169.75</v>
      </c>
      <c r="P25" s="130"/>
      <c r="Q25" s="136">
        <f>I.2!Q25</f>
        <v>156303.08333333334</v>
      </c>
      <c r="R25" s="136">
        <f>I.2!R25</f>
        <v>156703.08333333334</v>
      </c>
      <c r="S25" s="136">
        <f>I.2!S25</f>
        <v>157103.08333333334</v>
      </c>
      <c r="T25" s="10"/>
    </row>
    <row r="26" spans="1:21">
      <c r="A26" s="2">
        <v>12</v>
      </c>
      <c r="C26" s="4" t="s">
        <v>136</v>
      </c>
      <c r="D26" s="2"/>
      <c r="G26" s="136">
        <f>I.2!G26</f>
        <v>17580</v>
      </c>
      <c r="H26" s="136">
        <f>I.2!H26</f>
        <v>17591</v>
      </c>
      <c r="I26" s="136">
        <f>I.2!I26</f>
        <v>17710</v>
      </c>
      <c r="J26" s="136">
        <f>I.2!J26</f>
        <v>17473</v>
      </c>
      <c r="K26" s="136">
        <f>I.2!K26</f>
        <v>17699</v>
      </c>
      <c r="L26" s="130"/>
      <c r="M26" s="136">
        <f>I.2!M26</f>
        <v>17323.916666666668</v>
      </c>
      <c r="N26" s="130"/>
      <c r="O26" s="136">
        <f>I.2!O26</f>
        <v>17323.916666666668</v>
      </c>
      <c r="P26" s="130"/>
      <c r="Q26" s="136">
        <f>I.2!Q26</f>
        <v>17323.916666666664</v>
      </c>
      <c r="R26" s="136">
        <f>I.2!R26</f>
        <v>17323.916666666664</v>
      </c>
      <c r="S26" s="136">
        <f>I.2!S26</f>
        <v>17323.916666666664</v>
      </c>
      <c r="T26" s="10"/>
    </row>
    <row r="27" spans="1:21">
      <c r="A27" s="2">
        <v>13</v>
      </c>
      <c r="C27" s="4" t="s">
        <v>137</v>
      </c>
      <c r="D27" s="2"/>
      <c r="G27" s="136">
        <f>I.2!G27</f>
        <v>193</v>
      </c>
      <c r="H27" s="136">
        <f>I.2!H27</f>
        <v>208</v>
      </c>
      <c r="I27" s="136">
        <f>I.2!I27</f>
        <v>201</v>
      </c>
      <c r="J27" s="136">
        <f>I.2!J27</f>
        <v>198</v>
      </c>
      <c r="K27" s="136">
        <f>I.2!K27</f>
        <v>209</v>
      </c>
      <c r="L27" s="130"/>
      <c r="M27" s="136">
        <f>I.2!M27</f>
        <v>206</v>
      </c>
      <c r="N27" s="130"/>
      <c r="O27" s="136">
        <f>I.2!O27</f>
        <v>206</v>
      </c>
      <c r="P27" s="130"/>
      <c r="Q27" s="136">
        <f>I.2!Q27</f>
        <v>206</v>
      </c>
      <c r="R27" s="136">
        <f>I.2!R27</f>
        <v>206</v>
      </c>
      <c r="S27" s="136">
        <f>I.2!S27</f>
        <v>206</v>
      </c>
      <c r="T27" s="10"/>
    </row>
    <row r="28" spans="1:21">
      <c r="A28" s="2">
        <v>14</v>
      </c>
      <c r="C28" s="4" t="s">
        <v>168</v>
      </c>
      <c r="D28" s="2"/>
      <c r="G28" s="907">
        <f>I.2!G28</f>
        <v>1574</v>
      </c>
      <c r="H28" s="907">
        <f>I.2!H28</f>
        <v>1579</v>
      </c>
      <c r="I28" s="907">
        <f>I.2!I28</f>
        <v>1596</v>
      </c>
      <c r="J28" s="907">
        <f>I.2!J28</f>
        <v>1564</v>
      </c>
      <c r="K28" s="907">
        <f>I.2!K28</f>
        <v>1559</v>
      </c>
      <c r="L28" s="130"/>
      <c r="M28" s="907">
        <f>I.2!M28</f>
        <v>1553.9166666666667</v>
      </c>
      <c r="N28" s="130"/>
      <c r="O28" s="907">
        <f>I.2!O28</f>
        <v>1553.9166666666667</v>
      </c>
      <c r="P28" s="130"/>
      <c r="Q28" s="576">
        <f>I.2!Q28</f>
        <v>1553.9166666666667</v>
      </c>
      <c r="R28" s="576">
        <f>I.2!R28</f>
        <v>1553.9166666666667</v>
      </c>
      <c r="S28" s="576">
        <f>I.2!S28</f>
        <v>1553.9166666666667</v>
      </c>
      <c r="T28" s="10"/>
    </row>
    <row r="29" spans="1:21">
      <c r="A29" s="2">
        <v>15</v>
      </c>
      <c r="G29" s="1200"/>
      <c r="H29" s="1200"/>
      <c r="I29" s="1200"/>
      <c r="J29" s="1200"/>
      <c r="K29" s="1200"/>
      <c r="L29" s="130"/>
      <c r="M29" s="1200"/>
      <c r="N29" s="130"/>
      <c r="O29" s="1200"/>
      <c r="P29" s="130"/>
      <c r="Q29" s="1200"/>
      <c r="R29" s="1200"/>
      <c r="S29" s="1200"/>
      <c r="T29" s="10"/>
    </row>
    <row r="30" spans="1:21">
      <c r="A30" s="2">
        <v>16</v>
      </c>
      <c r="C30" s="4" t="s">
        <v>101</v>
      </c>
      <c r="D30" s="2"/>
      <c r="G30" s="136">
        <f>SUM(G25:G29)</f>
        <v>173830</v>
      </c>
      <c r="H30" s="136">
        <f>SUM(H25:H29)</f>
        <v>174325</v>
      </c>
      <c r="I30" s="136">
        <f>SUM(I25:I29)</f>
        <v>175666</v>
      </c>
      <c r="J30" s="136">
        <f>SUM(J25:J29)</f>
        <v>176245</v>
      </c>
      <c r="K30" s="136">
        <f>SUM(K25:K29)</f>
        <v>177389</v>
      </c>
      <c r="L30" s="130"/>
      <c r="M30" s="136">
        <f>SUM(M25:M29)</f>
        <v>174753.58333333331</v>
      </c>
      <c r="N30" s="130"/>
      <c r="O30" s="136">
        <f>SUM(O25:O29)</f>
        <v>175253.58333333331</v>
      </c>
      <c r="P30" s="130"/>
      <c r="Q30" s="136">
        <f>SUM(Q25:Q29)</f>
        <v>175386.91666666666</v>
      </c>
      <c r="R30" s="136">
        <f>SUM(R25:R29)</f>
        <v>175786.91666666666</v>
      </c>
      <c r="S30" s="136">
        <f>SUM(S25:S29)</f>
        <v>176186.91666666666</v>
      </c>
      <c r="T30" s="10"/>
    </row>
    <row r="31" spans="1:21">
      <c r="A31" s="2">
        <v>17</v>
      </c>
      <c r="G31" s="136"/>
      <c r="H31" s="136"/>
      <c r="I31" s="136"/>
      <c r="J31" s="136"/>
      <c r="K31" s="136"/>
      <c r="L31" s="130"/>
      <c r="M31" s="136"/>
      <c r="N31" s="130"/>
      <c r="O31" s="136"/>
      <c r="P31" s="130"/>
      <c r="Q31" s="136"/>
      <c r="R31" s="136"/>
      <c r="S31" s="136"/>
      <c r="T31" s="10"/>
    </row>
    <row r="32" spans="1:21">
      <c r="A32" s="2">
        <v>18</v>
      </c>
      <c r="C32" s="4" t="s">
        <v>351</v>
      </c>
      <c r="G32" s="136"/>
      <c r="H32" s="136"/>
      <c r="I32" s="136"/>
      <c r="J32" s="136"/>
      <c r="K32" s="136"/>
      <c r="L32" s="130"/>
      <c r="M32" s="136"/>
      <c r="N32" s="130"/>
      <c r="O32" s="136"/>
      <c r="P32" s="130"/>
      <c r="Q32" s="136"/>
      <c r="R32" s="136"/>
      <c r="S32" s="136"/>
      <c r="T32" s="10"/>
    </row>
    <row r="33" spans="1:20">
      <c r="A33" s="2">
        <v>19</v>
      </c>
      <c r="C33" s="4" t="s">
        <v>135</v>
      </c>
      <c r="G33" s="136">
        <f t="shared" ref="G33:J36" si="0">(G16/G25)</f>
        <v>69.311680379070836</v>
      </c>
      <c r="H33" s="136">
        <f t="shared" si="0"/>
        <v>67.15475717503405</v>
      </c>
      <c r="I33" s="136">
        <f t="shared" si="0"/>
        <v>53.596513617530846</v>
      </c>
      <c r="J33" s="136">
        <f t="shared" si="0"/>
        <v>67.912084644290175</v>
      </c>
      <c r="K33" s="136">
        <f t="shared" ref="K33" si="1">(K16/K25)</f>
        <v>74.448189549271163</v>
      </c>
      <c r="L33" s="130"/>
      <c r="M33" s="136">
        <f>(M16/M25)</f>
        <v>66.18488718558072</v>
      </c>
      <c r="N33" s="130"/>
      <c r="O33" s="136">
        <f>(O16/O25)</f>
        <v>66.187638587036602</v>
      </c>
      <c r="P33" s="130"/>
      <c r="Q33" s="136">
        <f t="shared" ref="Q33:R36" si="2">(Q16/Q25)</f>
        <v>66.143175729976065</v>
      </c>
      <c r="R33" s="136">
        <f t="shared" si="2"/>
        <v>66.143235236052917</v>
      </c>
      <c r="S33" s="136">
        <f t="shared" ref="S33" si="3">(S16/S25)</f>
        <v>66.143291330962725</v>
      </c>
      <c r="T33" s="10"/>
    </row>
    <row r="34" spans="1:20">
      <c r="A34" s="2">
        <v>20</v>
      </c>
      <c r="C34" s="4" t="s">
        <v>136</v>
      </c>
      <c r="G34" s="136">
        <f t="shared" si="0"/>
        <v>281.34412286689417</v>
      </c>
      <c r="H34" s="136">
        <f t="shared" si="0"/>
        <v>269.33829969870959</v>
      </c>
      <c r="I34" s="136">
        <f t="shared" si="0"/>
        <v>222.83679559570862</v>
      </c>
      <c r="J34" s="136">
        <f t="shared" si="0"/>
        <v>292.59703141990497</v>
      </c>
      <c r="K34" s="136">
        <f t="shared" ref="K34" si="4">(K17/K26)</f>
        <v>319.65880388722525</v>
      </c>
      <c r="L34" s="130"/>
      <c r="M34" s="136">
        <f>(M17/M26)</f>
        <v>294.71437180968502</v>
      </c>
      <c r="N34" s="130"/>
      <c r="O34" s="136">
        <f>(O17/O26)</f>
        <v>294.71437180968508</v>
      </c>
      <c r="P34" s="130"/>
      <c r="Q34" s="136">
        <f t="shared" si="2"/>
        <v>294.71437180968513</v>
      </c>
      <c r="R34" s="136">
        <f t="shared" si="2"/>
        <v>294.71437180968513</v>
      </c>
      <c r="S34" s="136">
        <f t="shared" ref="S34" si="5">(S17/S26)</f>
        <v>294.71437180968513</v>
      </c>
      <c r="T34" s="10"/>
    </row>
    <row r="35" spans="1:20">
      <c r="A35" s="2">
        <v>21</v>
      </c>
      <c r="C35" s="4" t="s">
        <v>137</v>
      </c>
      <c r="G35" s="136">
        <f t="shared" si="0"/>
        <v>3752.1091709844563</v>
      </c>
      <c r="H35" s="136">
        <f t="shared" si="0"/>
        <v>3947.7664903846153</v>
      </c>
      <c r="I35" s="136">
        <f t="shared" si="0"/>
        <v>4950.7199004975137</v>
      </c>
      <c r="J35" s="136">
        <f t="shared" si="0"/>
        <v>4075.7878282828278</v>
      </c>
      <c r="K35" s="136">
        <f t="shared" ref="K35" si="6">(K18/K27)</f>
        <v>3732.2422009569368</v>
      </c>
      <c r="L35" s="130"/>
      <c r="M35" s="136">
        <f>(M18/M27)</f>
        <v>4474.2005233009713</v>
      </c>
      <c r="N35" s="130"/>
      <c r="O35" s="136">
        <f>(O18/O27)</f>
        <v>4474.2005233009713</v>
      </c>
      <c r="P35" s="130"/>
      <c r="Q35" s="136">
        <f t="shared" si="2"/>
        <v>4474.2005233009713</v>
      </c>
      <c r="R35" s="136">
        <f t="shared" si="2"/>
        <v>4474.2005233009713</v>
      </c>
      <c r="S35" s="136">
        <f t="shared" ref="S35" si="7">(S18/S27)</f>
        <v>4474.2005233009713</v>
      </c>
      <c r="T35" s="10"/>
    </row>
    <row r="36" spans="1:20">
      <c r="A36" s="2">
        <v>22</v>
      </c>
      <c r="C36" s="4" t="s">
        <v>168</v>
      </c>
      <c r="G36" s="136">
        <f t="shared" si="0"/>
        <v>761.45125158831001</v>
      </c>
      <c r="H36" s="136">
        <f t="shared" si="0"/>
        <v>713.06902469917679</v>
      </c>
      <c r="I36" s="136">
        <f t="shared" si="0"/>
        <v>606.28244987468679</v>
      </c>
      <c r="J36" s="136">
        <f t="shared" si="0"/>
        <v>757.84168158567786</v>
      </c>
      <c r="K36" s="136">
        <f t="shared" ref="K36" si="8">(K19/K28)</f>
        <v>796.22186016677347</v>
      </c>
      <c r="L36" s="130"/>
      <c r="M36" s="136">
        <f>(M19/M28)</f>
        <v>698.04529873974366</v>
      </c>
      <c r="N36" s="130"/>
      <c r="O36" s="136">
        <f>(O19/O28)</f>
        <v>698.04529873974366</v>
      </c>
      <c r="P36" s="130"/>
      <c r="Q36" s="136">
        <f t="shared" si="2"/>
        <v>698.04529873974366</v>
      </c>
      <c r="R36" s="136">
        <f t="shared" si="2"/>
        <v>698.04529873974366</v>
      </c>
      <c r="S36" s="136">
        <f t="shared" ref="S36" si="9">(S19/S28)</f>
        <v>698.04529873974366</v>
      </c>
      <c r="T36" s="10"/>
    </row>
    <row r="37" spans="1:20">
      <c r="H37" s="10"/>
      <c r="I37" s="10"/>
      <c r="J37" s="10"/>
      <c r="K37" s="10"/>
      <c r="M37" s="99"/>
      <c r="T37" s="10"/>
    </row>
    <row r="38" spans="1:20">
      <c r="A38" s="4"/>
      <c r="C38" s="4"/>
      <c r="G38" s="10"/>
      <c r="H38" s="10"/>
      <c r="I38" s="10"/>
      <c r="J38" s="10"/>
      <c r="K38" s="10"/>
      <c r="M38" s="99"/>
      <c r="O38" s="99"/>
      <c r="Q38" s="10"/>
      <c r="R38" s="10"/>
      <c r="S38" s="10"/>
      <c r="T38" s="10"/>
    </row>
    <row r="39" spans="1:20">
      <c r="A39"/>
      <c r="B39"/>
      <c r="C39"/>
      <c r="D39"/>
      <c r="E39"/>
      <c r="F39"/>
      <c r="G39"/>
      <c r="H39"/>
      <c r="I39"/>
      <c r="J39"/>
      <c r="K39"/>
      <c r="L39"/>
      <c r="M39" s="106"/>
      <c r="N39" s="106"/>
      <c r="O39" s="106"/>
      <c r="P39" s="106"/>
      <c r="Q39"/>
      <c r="R39" s="10"/>
      <c r="S39" s="10"/>
      <c r="T39" s="10"/>
    </row>
    <row r="40" spans="1:20">
      <c r="A40"/>
      <c r="B40"/>
      <c r="C40"/>
      <c r="D40"/>
      <c r="E40"/>
      <c r="F40"/>
      <c r="G40"/>
      <c r="H40"/>
      <c r="I40"/>
      <c r="J40"/>
      <c r="K40"/>
      <c r="L40"/>
      <c r="M40" s="106"/>
      <c r="N40" s="106"/>
      <c r="O40" s="106"/>
      <c r="P40" s="106"/>
      <c r="Q40"/>
      <c r="R40" s="10"/>
      <c r="S40" s="10"/>
      <c r="T40" s="10"/>
    </row>
    <row r="41" spans="1:20">
      <c r="A41"/>
      <c r="B41"/>
      <c r="C41"/>
      <c r="D41"/>
      <c r="E41"/>
      <c r="F41"/>
      <c r="G41"/>
      <c r="H41"/>
      <c r="I41"/>
      <c r="J41"/>
      <c r="K41"/>
      <c r="L41"/>
      <c r="M41" s="106"/>
      <c r="N41" s="106"/>
      <c r="O41" s="106"/>
      <c r="P41" s="106"/>
      <c r="Q41"/>
    </row>
    <row r="42" spans="1:20">
      <c r="A42"/>
      <c r="B42"/>
      <c r="C42"/>
      <c r="D42"/>
      <c r="E42"/>
      <c r="F42"/>
      <c r="G42"/>
      <c r="H42"/>
      <c r="I42"/>
      <c r="J42"/>
      <c r="K42"/>
      <c r="L42"/>
      <c r="M42" s="106"/>
      <c r="N42" s="106"/>
      <c r="O42" s="106"/>
      <c r="P42" s="106"/>
      <c r="Q42"/>
      <c r="R42" s="10"/>
      <c r="S42" s="10"/>
      <c r="T42" s="10"/>
    </row>
    <row r="43" spans="1:20">
      <c r="A43"/>
      <c r="B43"/>
      <c r="C43"/>
      <c r="D43"/>
      <c r="E43"/>
      <c r="F43"/>
      <c r="G43"/>
      <c r="H43"/>
      <c r="I43"/>
      <c r="J43"/>
      <c r="K43"/>
      <c r="L43"/>
      <c r="M43" s="106"/>
      <c r="N43" s="106"/>
      <c r="O43" s="106"/>
      <c r="P43" s="106"/>
      <c r="Q43"/>
      <c r="R43" s="10"/>
      <c r="S43" s="10"/>
      <c r="T43" s="10"/>
    </row>
    <row r="44" spans="1:20">
      <c r="A44"/>
      <c r="B44"/>
      <c r="C44"/>
      <c r="D44"/>
      <c r="E44"/>
      <c r="F44"/>
      <c r="G44"/>
      <c r="H44"/>
      <c r="I44"/>
      <c r="J44"/>
      <c r="K44"/>
      <c r="L44"/>
      <c r="M44" s="106"/>
      <c r="N44" s="106"/>
      <c r="O44" s="106"/>
      <c r="P44" s="106"/>
      <c r="Q44"/>
    </row>
    <row r="45" spans="1:20">
      <c r="A45"/>
      <c r="B45"/>
      <c r="C45"/>
      <c r="D45"/>
      <c r="E45"/>
      <c r="F45"/>
      <c r="G45"/>
      <c r="H45"/>
      <c r="I45"/>
      <c r="J45"/>
      <c r="K45"/>
      <c r="L45"/>
      <c r="M45" s="106"/>
      <c r="N45" s="106"/>
      <c r="O45" s="106"/>
      <c r="P45" s="106"/>
      <c r="Q45"/>
    </row>
    <row r="46" spans="1:20">
      <c r="A46"/>
      <c r="B46"/>
      <c r="C46"/>
      <c r="D46"/>
      <c r="E46"/>
      <c r="F46"/>
      <c r="G46"/>
      <c r="H46"/>
      <c r="I46"/>
      <c r="J46"/>
      <c r="K46"/>
      <c r="L46"/>
      <c r="M46" s="106"/>
      <c r="N46" s="106"/>
      <c r="O46" s="106"/>
      <c r="P46" s="106"/>
      <c r="Q46"/>
    </row>
    <row r="47" spans="1:20">
      <c r="A47"/>
      <c r="B47"/>
      <c r="C47"/>
      <c r="D47"/>
      <c r="E47"/>
      <c r="F47"/>
      <c r="G47"/>
      <c r="H47"/>
      <c r="I47"/>
      <c r="J47"/>
      <c r="K47"/>
      <c r="L47"/>
      <c r="M47" s="106"/>
      <c r="N47" s="106"/>
      <c r="O47" s="106"/>
      <c r="P47" s="106"/>
      <c r="Q47"/>
    </row>
    <row r="48" spans="1:20">
      <c r="I48" s="10"/>
      <c r="J48" s="10"/>
      <c r="K48" s="10"/>
    </row>
    <row r="49" spans="9:11">
      <c r="I49" s="10"/>
      <c r="J49" s="10"/>
      <c r="K49" s="10"/>
    </row>
    <row r="50" spans="9:11">
      <c r="I50" s="10"/>
      <c r="J50" s="10"/>
      <c r="K50" s="10"/>
    </row>
    <row r="51" spans="9:11">
      <c r="I51" s="10"/>
      <c r="J51" s="10"/>
      <c r="K51" s="10"/>
    </row>
    <row r="52" spans="9:11">
      <c r="I52" s="10"/>
      <c r="J52" s="10"/>
      <c r="K52" s="10"/>
    </row>
    <row r="53" spans="9:11">
      <c r="I53" s="10"/>
      <c r="J53" s="10"/>
      <c r="K53" s="10"/>
    </row>
    <row r="54" spans="9:11">
      <c r="I54" s="10"/>
      <c r="J54" s="10"/>
      <c r="K54" s="10"/>
    </row>
    <row r="55" spans="9:11">
      <c r="I55" s="10"/>
      <c r="J55" s="10"/>
      <c r="K55" s="10"/>
    </row>
    <row r="56" spans="9:11">
      <c r="I56" s="10"/>
      <c r="J56" s="10"/>
      <c r="K56" s="10"/>
    </row>
    <row r="57" spans="9:11">
      <c r="I57" s="10"/>
      <c r="J57" s="10"/>
      <c r="K57" s="10"/>
    </row>
    <row r="58" spans="9:11">
      <c r="I58" s="10"/>
      <c r="J58" s="10"/>
      <c r="K58" s="10"/>
    </row>
    <row r="59" spans="9:11">
      <c r="I59" s="10"/>
      <c r="J59" s="10"/>
      <c r="K59" s="10"/>
    </row>
    <row r="60" spans="9:11">
      <c r="I60" s="10"/>
      <c r="J60" s="10"/>
      <c r="K60" s="10"/>
    </row>
    <row r="61" spans="9:11">
      <c r="I61" s="10"/>
      <c r="J61" s="10"/>
      <c r="K61" s="10"/>
    </row>
    <row r="62" spans="9:11">
      <c r="I62" s="10"/>
      <c r="J62" s="10"/>
      <c r="K62" s="10"/>
    </row>
    <row r="63" spans="9:11">
      <c r="I63" s="10"/>
      <c r="J63" s="10"/>
      <c r="K63" s="10"/>
    </row>
    <row r="64" spans="9:11">
      <c r="I64" s="10"/>
      <c r="J64" s="10"/>
      <c r="K64" s="10"/>
    </row>
    <row r="65" spans="9:11">
      <c r="I65" s="10"/>
      <c r="J65" s="10"/>
      <c r="K65" s="10"/>
    </row>
    <row r="66" spans="9:11">
      <c r="I66" s="10"/>
      <c r="J66" s="10"/>
      <c r="K66" s="10"/>
    </row>
    <row r="67" spans="9:11">
      <c r="I67" s="10"/>
      <c r="J67" s="10"/>
      <c r="K67" s="10"/>
    </row>
    <row r="68" spans="9:11">
      <c r="I68" s="10"/>
      <c r="J68" s="10"/>
      <c r="K68" s="10"/>
    </row>
    <row r="69" spans="9:11">
      <c r="I69" s="10"/>
      <c r="J69" s="10"/>
      <c r="K69" s="10"/>
    </row>
    <row r="70" spans="9:11">
      <c r="I70" s="10"/>
      <c r="J70" s="10"/>
      <c r="K70" s="10"/>
    </row>
    <row r="71" spans="9:11">
      <c r="I71" s="10"/>
      <c r="J71" s="10"/>
      <c r="K71" s="10"/>
    </row>
    <row r="72" spans="9:11">
      <c r="I72" s="10"/>
      <c r="J72" s="10"/>
      <c r="K72" s="10"/>
    </row>
    <row r="73" spans="9:11">
      <c r="I73" s="10"/>
      <c r="J73" s="10"/>
      <c r="K73" s="10"/>
    </row>
    <row r="74" spans="9:11">
      <c r="I74" s="10"/>
      <c r="J74" s="10"/>
      <c r="K74" s="10"/>
    </row>
  </sheetData>
  <mergeCells count="6">
    <mergeCell ref="Q11:S11"/>
    <mergeCell ref="A1:R1"/>
    <mergeCell ref="A2:R2"/>
    <mergeCell ref="A3:R3"/>
    <mergeCell ref="A4:R4"/>
    <mergeCell ref="A5:R5"/>
  </mergeCells>
  <phoneticPr fontId="24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60" zoomScaleNormal="90" workbookViewId="0">
      <selection activeCell="R20" sqref="R20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</row>
    <row r="2" spans="1:22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</row>
    <row r="3" spans="1:22">
      <c r="A3" s="1256" t="s">
        <v>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</row>
    <row r="4" spans="1:22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</row>
    <row r="5" spans="1:22">
      <c r="A5" s="939"/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</row>
    <row r="6" spans="1:22">
      <c r="M6" s="1" t="s">
        <v>1508</v>
      </c>
    </row>
    <row r="7" spans="1:22">
      <c r="A7" s="4" t="s">
        <v>390</v>
      </c>
      <c r="M7" s="648" t="s">
        <v>793</v>
      </c>
    </row>
    <row r="8" spans="1:22">
      <c r="A8" s="95" t="s">
        <v>631</v>
      </c>
      <c r="M8" s="648" t="s">
        <v>871</v>
      </c>
    </row>
    <row r="9" spans="1:22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49" t="s">
        <v>1349</v>
      </c>
    </row>
    <row r="10" spans="1:22">
      <c r="L10" s="16"/>
      <c r="M10" s="16"/>
      <c r="N10" s="16"/>
      <c r="S10" s="16"/>
      <c r="T10" s="16"/>
      <c r="U10" s="16"/>
      <c r="V10" s="16"/>
    </row>
    <row r="11" spans="1:22">
      <c r="A11" s="2" t="s">
        <v>98</v>
      </c>
      <c r="E11" s="2" t="s">
        <v>100</v>
      </c>
      <c r="I11" s="2" t="s">
        <v>108</v>
      </c>
      <c r="M11" s="2" t="s">
        <v>358</v>
      </c>
    </row>
    <row r="12" spans="1:22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</row>
    <row r="13" spans="1:22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</row>
    <row r="14" spans="1:22">
      <c r="G14" s="2" t="s">
        <v>639</v>
      </c>
      <c r="I14" s="1045" t="s">
        <v>154</v>
      </c>
      <c r="K14" s="2" t="s">
        <v>154</v>
      </c>
      <c r="M14" s="2" t="s">
        <v>154</v>
      </c>
    </row>
    <row r="16" spans="1:22">
      <c r="G16" s="10"/>
      <c r="K16" s="3"/>
      <c r="O16" s="10"/>
      <c r="S16" s="3"/>
    </row>
    <row r="17" spans="1:21" ht="15.75">
      <c r="C17" s="270" t="s">
        <v>1602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1045">
        <v>6</v>
      </c>
      <c r="C19" s="4" t="s">
        <v>277</v>
      </c>
      <c r="E19" s="24" t="s">
        <v>281</v>
      </c>
      <c r="F19" s="10"/>
      <c r="G19" s="628">
        <f>+J.1!H17</f>
        <v>415875.57768141665</v>
      </c>
      <c r="H19" s="10"/>
      <c r="I19" s="11">
        <f>+G19/G27</f>
        <v>6.8088477935301109E-2</v>
      </c>
      <c r="J19" s="10"/>
      <c r="K19" s="66">
        <f>+J.1!L17</f>
        <v>9.4300720778860338E-3</v>
      </c>
      <c r="L19" s="10"/>
      <c r="M19" s="66">
        <f>ROUND(I19*K19,4)</f>
        <v>5.9999999999999995E-4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66"/>
      <c r="L20" s="10"/>
      <c r="M20" s="66"/>
    </row>
    <row r="21" spans="1:21">
      <c r="A21" s="1045">
        <v>7</v>
      </c>
      <c r="C21" s="4" t="s">
        <v>278</v>
      </c>
      <c r="E21" s="24" t="s">
        <v>281</v>
      </c>
      <c r="F21" s="10"/>
      <c r="G21" s="99">
        <f>'J-3 B'!E33*0.001</f>
        <v>2455352.5582333333</v>
      </c>
      <c r="H21" s="10"/>
      <c r="I21" s="11">
        <f>+G21/G27</f>
        <v>0.40199816352939427</v>
      </c>
      <c r="J21" s="10"/>
      <c r="K21" s="66">
        <f>+J.1!L19</f>
        <v>5.8999999999999997E-2</v>
      </c>
      <c r="L21" s="10"/>
      <c r="M21" s="66">
        <f>ROUND(I21*K21,4)</f>
        <v>2.3699999999999999E-2</v>
      </c>
    </row>
    <row r="22" spans="1:21">
      <c r="E22" s="10"/>
      <c r="F22" s="10"/>
      <c r="G22" s="10"/>
      <c r="H22" s="10"/>
      <c r="I22" s="10"/>
      <c r="J22" s="10"/>
      <c r="K22" s="66"/>
      <c r="L22" s="10"/>
      <c r="M22" s="66"/>
    </row>
    <row r="23" spans="1:21">
      <c r="A23" s="1045">
        <v>8</v>
      </c>
      <c r="C23" s="4" t="s">
        <v>279</v>
      </c>
      <c r="E23" s="24" t="s">
        <v>282</v>
      </c>
      <c r="F23" s="10"/>
      <c r="G23" s="10">
        <f>+J.1!H23</f>
        <v>0</v>
      </c>
      <c r="H23" s="10"/>
      <c r="I23" s="11">
        <f>+G23/G27</f>
        <v>0</v>
      </c>
      <c r="J23" s="10"/>
      <c r="K23" s="66">
        <f>+J.1!L23</f>
        <v>0</v>
      </c>
      <c r="L23" s="10"/>
      <c r="M23" s="66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66"/>
      <c r="L24" s="10"/>
      <c r="M24" s="66"/>
    </row>
    <row r="25" spans="1:21">
      <c r="A25" s="1045">
        <v>9</v>
      </c>
      <c r="C25" s="4" t="s">
        <v>280</v>
      </c>
      <c r="E25" s="10"/>
      <c r="F25" s="10"/>
      <c r="G25" s="753">
        <f>+J.1!H25</f>
        <v>3236641.9515410024</v>
      </c>
      <c r="H25" s="10"/>
      <c r="I25" s="27">
        <f>+G25/G27</f>
        <v>0.52991335853530463</v>
      </c>
      <c r="J25" s="10"/>
      <c r="K25" s="66">
        <f>+J.1!L25</f>
        <v>0.105</v>
      </c>
      <c r="L25" s="10"/>
      <c r="M25" s="67">
        <f>ROUND(I25*K25,4)</f>
        <v>5.5599999999999997E-2</v>
      </c>
    </row>
    <row r="26" spans="1:21">
      <c r="G26" s="10"/>
      <c r="K26" s="3"/>
    </row>
    <row r="27" spans="1:21" ht="15.75" thickBot="1">
      <c r="A27" s="2">
        <v>10</v>
      </c>
      <c r="C27" s="4" t="s">
        <v>413</v>
      </c>
      <c r="G27" s="420">
        <f>SUM(G19:G25)</f>
        <v>6107870.0874557523</v>
      </c>
      <c r="I27" s="20">
        <f>SUM(I19:I25)</f>
        <v>1</v>
      </c>
      <c r="K27" s="11"/>
      <c r="M27" s="69">
        <f>(+M19+M21+M23+M25)</f>
        <v>7.9899999999999999E-2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67" right="0.75" top="0.75" bottom="1.26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42"/>
  <sheetViews>
    <sheetView view="pageBreakPreview" zoomScale="60" zoomScaleNormal="90" workbookViewId="0">
      <selection activeCell="G28" sqref="G28"/>
    </sheetView>
  </sheetViews>
  <sheetFormatPr defaultColWidth="10.109375" defaultRowHeight="15"/>
  <cols>
    <col min="1" max="1" width="6.5546875" style="1" customWidth="1"/>
    <col min="2" max="2" width="3.33203125" style="1" customWidth="1"/>
    <col min="3" max="3" width="16.109375" style="1" customWidth="1"/>
    <col min="4" max="4" width="11" style="1" customWidth="1"/>
    <col min="5" max="5" width="5.88671875" style="1" customWidth="1"/>
    <col min="6" max="6" width="13.109375" style="1" bestFit="1" customWidth="1"/>
    <col min="7" max="7" width="5" style="1" customWidth="1"/>
    <col min="8" max="8" width="10.109375" style="1"/>
    <col min="9" max="9" width="5" style="1" customWidth="1"/>
    <col min="10" max="10" width="10.109375" style="1" customWidth="1"/>
    <col min="11" max="11" width="6.33203125" style="1" customWidth="1"/>
    <col min="12" max="12" width="11.88671875" style="1" customWidth="1"/>
    <col min="13" max="16384" width="10.109375" style="1"/>
  </cols>
  <sheetData>
    <row r="1" spans="1:17">
      <c r="A1" s="1272" t="str">
        <f>'Table of Contents'!A1:C1</f>
        <v>Atmos Energy Corporation, Kentucky/Mid-States Division</v>
      </c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</row>
    <row r="2" spans="1:17">
      <c r="A2" s="1272" t="str">
        <f>'Table of Contents'!A2:C2</f>
        <v>Kentucky Jurisdiction Case No. 2015-00343</v>
      </c>
      <c r="B2" s="1272"/>
      <c r="C2" s="1272"/>
      <c r="D2" s="1272"/>
      <c r="E2" s="1272"/>
      <c r="F2" s="1272"/>
      <c r="G2" s="1272"/>
      <c r="H2" s="1272"/>
      <c r="I2" s="1272"/>
      <c r="J2" s="1272"/>
      <c r="K2" s="1272"/>
      <c r="L2" s="1272"/>
    </row>
    <row r="3" spans="1:17">
      <c r="A3" s="1272" t="s">
        <v>541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</row>
    <row r="4" spans="1:17">
      <c r="A4" s="1272" t="s">
        <v>1451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</row>
    <row r="5" spans="1:17">
      <c r="A5" s="940"/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</row>
    <row r="6" spans="1:17">
      <c r="L6" s="491" t="s">
        <v>1508</v>
      </c>
    </row>
    <row r="7" spans="1:17">
      <c r="A7" s="4" t="str">
        <f>'J-1 Base'!A7</f>
        <v>Data:__X___Base Period______Forecasted Period</v>
      </c>
      <c r="L7" s="648" t="s">
        <v>50</v>
      </c>
    </row>
    <row r="8" spans="1:17">
      <c r="A8" s="4" t="str">
        <f>'J-1 Base'!A8</f>
        <v>Type of Filing:___X____Original________Updated ________Revised</v>
      </c>
      <c r="L8" s="648" t="s">
        <v>871</v>
      </c>
    </row>
    <row r="9" spans="1:17">
      <c r="A9" s="73" t="str">
        <f>'J-1 Base'!A9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45"/>
      <c r="L9" s="649" t="str">
        <f>'J-1 Base'!M9</f>
        <v>Witness:  Waller</v>
      </c>
    </row>
    <row r="10" spans="1:17">
      <c r="H10" s="77">
        <v>-1</v>
      </c>
      <c r="J10" s="2" t="s">
        <v>360</v>
      </c>
      <c r="L10" s="2" t="s">
        <v>1165</v>
      </c>
    </row>
    <row r="11" spans="1:17">
      <c r="A11" s="2" t="s">
        <v>98</v>
      </c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 t="s">
        <v>104</v>
      </c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E15" s="107"/>
      <c r="F15" s="107"/>
      <c r="G15" s="107"/>
      <c r="H15" s="107"/>
      <c r="I15" s="107"/>
      <c r="J15" s="107"/>
    </row>
    <row r="16" spans="1:17">
      <c r="A16" s="2" t="s">
        <v>376</v>
      </c>
      <c r="C16" s="115" t="s">
        <v>919</v>
      </c>
      <c r="D16" s="107"/>
      <c r="E16" s="107"/>
      <c r="F16" s="442">
        <f>'[33]LTD Budget 2012'!$FF$272</f>
        <v>415875.57768141665</v>
      </c>
      <c r="G16" s="97"/>
      <c r="H16" s="1077">
        <f>J16/F16</f>
        <v>3.9642820751121799E-3</v>
      </c>
      <c r="I16" s="139"/>
      <c r="J16" s="386">
        <f>SUM('[33]LTD Budget 2012'!$CA$186:$CL$186)</f>
        <v>1648.6480980793631</v>
      </c>
      <c r="K16" s="99"/>
      <c r="L16" s="99"/>
      <c r="M16" s="10"/>
      <c r="N16" s="1074"/>
      <c r="O16" s="10"/>
      <c r="P16" s="10"/>
      <c r="Q16" s="10"/>
    </row>
    <row r="17" spans="1:17"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7">
      <c r="A18" s="2">
        <v>2</v>
      </c>
      <c r="C18" s="115" t="s">
        <v>1345</v>
      </c>
      <c r="D18" s="107"/>
      <c r="E18" s="107"/>
      <c r="F18" s="112"/>
      <c r="G18" s="99"/>
      <c r="H18" s="99"/>
      <c r="I18" s="139"/>
      <c r="J18" s="109">
        <f>SUM('[33]LTD Budget 2012'!$CA$187:$CL$187)</f>
        <v>2273.0885748888886</v>
      </c>
      <c r="K18" s="99"/>
      <c r="L18" s="99"/>
      <c r="M18" s="10"/>
      <c r="N18" s="1074"/>
      <c r="O18" s="10"/>
      <c r="P18" s="10"/>
      <c r="Q18" s="10"/>
    </row>
    <row r="19" spans="1:17">
      <c r="C19" s="107"/>
      <c r="D19" s="107"/>
      <c r="E19" s="107"/>
      <c r="F19" s="99"/>
      <c r="G19" s="99"/>
      <c r="H19" s="155"/>
      <c r="I19" s="99"/>
      <c r="J19" s="99"/>
      <c r="K19" s="99"/>
      <c r="L19" s="99"/>
      <c r="M19" s="10"/>
      <c r="N19" s="10"/>
      <c r="O19" s="10"/>
      <c r="P19" s="10"/>
      <c r="Q19" s="10"/>
    </row>
    <row r="20" spans="1:17">
      <c r="A20" s="2">
        <v>3</v>
      </c>
      <c r="C20" s="115" t="s">
        <v>920</v>
      </c>
      <c r="D20" s="107"/>
      <c r="E20" s="107"/>
      <c r="F20" s="386">
        <f>SUM(F16:F18)</f>
        <v>415875.57768141665</v>
      </c>
      <c r="G20" s="99"/>
      <c r="H20" s="99"/>
      <c r="I20" s="139"/>
      <c r="J20" s="386">
        <f>SUM(J16:J18)</f>
        <v>3921.7366729682517</v>
      </c>
      <c r="K20" s="99"/>
      <c r="L20" s="155">
        <f>(J20/F20)</f>
        <v>9.4300720778860338E-3</v>
      </c>
      <c r="M20" s="10"/>
      <c r="N20" s="10"/>
      <c r="O20" s="10"/>
      <c r="P20" s="10"/>
      <c r="Q20" s="10"/>
    </row>
    <row r="21" spans="1:17">
      <c r="C21" s="107"/>
      <c r="D21" s="107"/>
      <c r="E21" s="107"/>
      <c r="F21" s="99"/>
      <c r="G21" s="99"/>
      <c r="H21" s="155"/>
      <c r="I21" s="139"/>
      <c r="J21" s="139"/>
      <c r="K21" s="99"/>
      <c r="L21" s="99"/>
      <c r="M21" s="10"/>
      <c r="N21" s="10"/>
      <c r="O21" s="10"/>
      <c r="P21" s="10"/>
      <c r="Q21" s="10"/>
    </row>
    <row r="22" spans="1:17">
      <c r="C22" s="107"/>
      <c r="D22" s="107"/>
      <c r="E22" s="107"/>
      <c r="F22" s="99"/>
      <c r="G22" s="99"/>
      <c r="H22" s="155"/>
      <c r="I22" s="139"/>
      <c r="J22" s="139"/>
      <c r="K22" s="99"/>
      <c r="L22" s="99"/>
      <c r="M22" s="10"/>
      <c r="N22" s="10"/>
      <c r="O22" s="10"/>
      <c r="P22" s="10"/>
      <c r="Q22" s="10"/>
    </row>
    <row r="23" spans="1:17">
      <c r="C23" s="107"/>
      <c r="D23" s="107"/>
      <c r="E23" s="107"/>
      <c r="F23" s="99"/>
      <c r="G23" s="99"/>
      <c r="H23" s="155"/>
      <c r="I23" s="139"/>
      <c r="J23" s="139"/>
      <c r="K23" s="99"/>
      <c r="L23" s="99"/>
      <c r="M23" s="10"/>
      <c r="N23" s="10"/>
      <c r="O23" s="10"/>
      <c r="P23" s="10"/>
      <c r="Q23" s="10"/>
    </row>
    <row r="24" spans="1:17" ht="15.75">
      <c r="B24" s="158"/>
      <c r="C24" s="107"/>
      <c r="D24" s="107"/>
      <c r="E24" s="107"/>
      <c r="F24" s="107"/>
      <c r="G24" s="99"/>
      <c r="H24" s="107"/>
      <c r="I24" s="139"/>
      <c r="J24" s="107"/>
      <c r="K24" s="107"/>
      <c r="L24" s="107"/>
    </row>
    <row r="25" spans="1:17">
      <c r="C25" s="115"/>
      <c r="D25" s="107"/>
      <c r="E25" s="107"/>
      <c r="F25" s="107"/>
      <c r="G25" s="99"/>
      <c r="H25" s="155"/>
      <c r="I25" s="139"/>
      <c r="J25" s="139"/>
      <c r="K25" s="107"/>
      <c r="L25" s="107"/>
    </row>
    <row r="26" spans="1:17">
      <c r="C26" s="115"/>
      <c r="D26" s="107"/>
      <c r="E26" s="107"/>
      <c r="F26" s="107"/>
      <c r="G26" s="99"/>
      <c r="H26" s="155"/>
      <c r="I26" s="139"/>
      <c r="J26" s="139"/>
      <c r="K26" s="107"/>
      <c r="L26" s="107"/>
    </row>
    <row r="27" spans="1:17">
      <c r="C27" s="924"/>
      <c r="D27" s="130"/>
      <c r="E27" s="130"/>
      <c r="F27" s="130"/>
      <c r="G27" s="130"/>
      <c r="H27" s="130"/>
      <c r="I27" s="130"/>
      <c r="J27" s="130"/>
      <c r="K27" s="130"/>
      <c r="L27" s="107"/>
    </row>
    <row r="28" spans="1:17">
      <c r="C28" s="239"/>
      <c r="D28" s="130"/>
      <c r="E28" s="130"/>
      <c r="F28" s="130"/>
      <c r="G28" s="130"/>
      <c r="H28" s="130"/>
      <c r="I28" s="130"/>
      <c r="J28" s="130"/>
      <c r="K28" s="130"/>
      <c r="L28" s="107"/>
    </row>
    <row r="29" spans="1:17">
      <c r="C29" s="159"/>
      <c r="D29" s="130"/>
      <c r="E29" s="130"/>
      <c r="F29" s="130"/>
      <c r="G29" s="130"/>
      <c r="H29" s="130"/>
      <c r="I29" s="130"/>
      <c r="J29" s="130"/>
      <c r="K29" s="130"/>
      <c r="L29" s="107"/>
    </row>
    <row r="30" spans="1:17">
      <c r="C30" s="159"/>
      <c r="D30" s="130"/>
      <c r="E30" s="130"/>
      <c r="F30" s="130"/>
      <c r="G30" s="136"/>
      <c r="H30" s="130"/>
      <c r="I30" s="191"/>
      <c r="J30" s="130"/>
      <c r="K30" s="130"/>
      <c r="L30" s="107"/>
    </row>
    <row r="31" spans="1:17">
      <c r="C31" s="119"/>
      <c r="D31" s="130"/>
      <c r="E31" s="130"/>
      <c r="F31" s="130"/>
      <c r="G31" s="136"/>
      <c r="H31" s="136"/>
      <c r="I31" s="191"/>
      <c r="J31" s="191"/>
      <c r="K31" s="130"/>
      <c r="L31" s="107"/>
    </row>
    <row r="32" spans="1:17">
      <c r="C32" s="159"/>
      <c r="D32" s="130"/>
      <c r="E32" s="130"/>
      <c r="F32" s="130"/>
      <c r="G32" s="136"/>
      <c r="H32" s="130"/>
      <c r="I32" s="130"/>
      <c r="J32" s="130"/>
      <c r="K32" s="130"/>
      <c r="L32" s="107"/>
    </row>
    <row r="33" spans="3:13">
      <c r="C33" s="159"/>
      <c r="D33" s="130"/>
      <c r="E33" s="130"/>
      <c r="F33" s="130"/>
      <c r="G33" s="130"/>
      <c r="H33" s="130"/>
      <c r="I33" s="130"/>
      <c r="J33" s="130"/>
      <c r="K33" s="130"/>
      <c r="L33" s="107"/>
    </row>
    <row r="34" spans="3:13"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3:13"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3:13"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3:13"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3:13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3:13"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3:13"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3:13"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3:13"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</row>
  </sheetData>
  <mergeCells count="4">
    <mergeCell ref="A1:L1"/>
    <mergeCell ref="A2:L2"/>
    <mergeCell ref="A3:L3"/>
    <mergeCell ref="A4:L4"/>
  </mergeCells>
  <phoneticPr fontId="24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1"/>
  <sheetViews>
    <sheetView view="pageBreakPreview" topLeftCell="A7" zoomScale="60" zoomScaleNormal="90" workbookViewId="0">
      <selection activeCell="F34" sqref="F34"/>
    </sheetView>
  </sheetViews>
  <sheetFormatPr defaultColWidth="8.5546875" defaultRowHeight="15"/>
  <cols>
    <col min="1" max="1" width="4.21875" style="1" customWidth="1"/>
    <col min="2" max="2" width="1.88671875" style="1" customWidth="1"/>
    <col min="3" max="3" width="34" style="1" customWidth="1"/>
    <col min="4" max="4" width="3" style="1" customWidth="1"/>
    <col min="5" max="5" width="15.88671875" style="1" customWidth="1"/>
    <col min="6" max="6" width="2.77734375" style="1" customWidth="1"/>
    <col min="7" max="7" width="7.5546875" style="1" customWidth="1"/>
    <col min="8" max="8" width="2.33203125" style="1" customWidth="1"/>
    <col min="9" max="9" width="14.77734375" style="1" customWidth="1"/>
    <col min="10" max="10" width="2" style="1" customWidth="1"/>
    <col min="11" max="11" width="9.21875" style="1" customWidth="1"/>
    <col min="12" max="12" width="8.5546875" style="1"/>
    <col min="13" max="13" width="9.44140625" style="1" customWidth="1"/>
    <col min="14" max="14" width="11.44140625" style="1" bestFit="1" customWidth="1"/>
    <col min="15" max="15" width="8.5546875" style="1"/>
    <col min="16" max="16" width="11.109375" style="1" customWidth="1"/>
    <col min="17" max="16384" width="8.5546875" style="1"/>
  </cols>
  <sheetData>
    <row r="1" spans="1:1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2" spans="1:15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5">
      <c r="A3" s="1256" t="s">
        <v>1104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</row>
    <row r="4" spans="1:15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</row>
    <row r="6" spans="1:15">
      <c r="A6" s="4" t="s">
        <v>390</v>
      </c>
      <c r="K6" s="491" t="s">
        <v>1508</v>
      </c>
    </row>
    <row r="7" spans="1:15">
      <c r="A7" s="95" t="s">
        <v>631</v>
      </c>
      <c r="K7" s="648" t="s">
        <v>49</v>
      </c>
    </row>
    <row r="8" spans="1:15">
      <c r="A8" s="5" t="s">
        <v>375</v>
      </c>
      <c r="B8" s="6"/>
      <c r="C8" s="6"/>
      <c r="D8" s="6"/>
      <c r="E8" s="6"/>
      <c r="F8" s="6"/>
      <c r="G8" s="6"/>
      <c r="H8" s="6"/>
      <c r="I8" s="6"/>
      <c r="J8" s="45"/>
      <c r="K8" s="649" t="str">
        <f>'J-1 Base'!$M$9</f>
        <v>Witness:  Waller</v>
      </c>
    </row>
    <row r="9" spans="1:15">
      <c r="A9" s="70"/>
      <c r="B9" s="47"/>
      <c r="C9" s="47"/>
      <c r="D9" s="47"/>
      <c r="E9" s="47"/>
      <c r="F9" s="47"/>
      <c r="G9" s="47"/>
      <c r="H9" s="47"/>
      <c r="I9" s="47"/>
      <c r="K9" s="724"/>
    </row>
    <row r="10" spans="1:15">
      <c r="E10" s="77" t="s">
        <v>872</v>
      </c>
      <c r="I10" s="2" t="s">
        <v>360</v>
      </c>
      <c r="K10" s="2" t="s">
        <v>1165</v>
      </c>
    </row>
    <row r="11" spans="1:15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5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5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5">
      <c r="E14" s="2"/>
      <c r="I14" s="2"/>
    </row>
    <row r="15" spans="1:15">
      <c r="O15" s="107"/>
    </row>
    <row r="16" spans="1:15">
      <c r="A16" s="2">
        <v>1</v>
      </c>
      <c r="C16" s="763" t="s">
        <v>1607</v>
      </c>
      <c r="D16" s="130"/>
      <c r="E16" s="442">
        <f>AVERAGE('[33]LTD Budget 2012'!$BZ$63:$CL$63)</f>
        <v>150000000</v>
      </c>
      <c r="F16" s="136"/>
      <c r="G16" s="1201">
        <f>'[33]LTD rate'!$U$11</f>
        <v>6.7500000000000004E-2</v>
      </c>
      <c r="H16" s="191"/>
      <c r="I16" s="1202">
        <f t="shared" ref="I16:I24" si="0">(E16*G16)</f>
        <v>10125000</v>
      </c>
      <c r="J16" s="10"/>
      <c r="K16" s="10"/>
      <c r="L16" s="10"/>
    </row>
    <row r="17" spans="1:16">
      <c r="A17" s="1009">
        <f t="shared" ref="A17:A33" si="1">A16+1</f>
        <v>2</v>
      </c>
      <c r="C17" s="763" t="s">
        <v>1608</v>
      </c>
      <c r="D17" s="130"/>
      <c r="E17" s="113">
        <f>AVERAGE('[33]LTD Budget 2012'!$BZ$78:$CL$78)</f>
        <v>10000000</v>
      </c>
      <c r="F17" s="136"/>
      <c r="G17" s="1201">
        <f>'[33]LTD rate'!$U$17</f>
        <v>6.6699999999999995E-2</v>
      </c>
      <c r="H17" s="191"/>
      <c r="I17" s="136">
        <f>(E17*G17)</f>
        <v>667000</v>
      </c>
    </row>
    <row r="18" spans="1:16">
      <c r="A18" s="1009">
        <f t="shared" si="1"/>
        <v>3</v>
      </c>
      <c r="C18" s="763" t="s">
        <v>1609</v>
      </c>
      <c r="D18" s="130"/>
      <c r="E18" s="113">
        <f>AVERAGE('[33]LTD Budget 2012'!$BZ$69:$CL$69)</f>
        <v>0</v>
      </c>
      <c r="F18" s="136"/>
      <c r="G18" s="1201">
        <f>'[33]LTD rate'!$U$18</f>
        <v>4.9500000000000002E-2</v>
      </c>
      <c r="H18" s="191"/>
      <c r="I18" s="136">
        <f>(E18*G18)</f>
        <v>0</v>
      </c>
      <c r="J18" s="10"/>
      <c r="K18" s="10"/>
      <c r="L18" s="10"/>
    </row>
    <row r="19" spans="1:16">
      <c r="A19" s="1009">
        <f t="shared" si="1"/>
        <v>4</v>
      </c>
      <c r="C19" s="763" t="s">
        <v>1610</v>
      </c>
      <c r="D19" s="130"/>
      <c r="E19" s="113">
        <f>AVERAGE('[33]LTD Budget 2012'!$BZ$70:$CL$70)</f>
        <v>200000000</v>
      </c>
      <c r="F19" s="136"/>
      <c r="G19" s="1201">
        <f>'[33]LTD rate'!$U$19</f>
        <v>5.9499999999999997E-2</v>
      </c>
      <c r="H19" s="136"/>
      <c r="I19" s="136">
        <f>(E19*G19)</f>
        <v>11900000</v>
      </c>
      <c r="J19" s="10"/>
      <c r="K19" s="10"/>
      <c r="L19" s="10"/>
    </row>
    <row r="20" spans="1:16">
      <c r="A20" s="1009">
        <f t="shared" si="1"/>
        <v>5</v>
      </c>
      <c r="C20" s="763" t="s">
        <v>1611</v>
      </c>
      <c r="D20" s="130"/>
      <c r="E20" s="113">
        <f>AVERAGE('[33]LTD Budget 2012'!$BZ$66:$CL$66)</f>
        <v>250000000</v>
      </c>
      <c r="F20" s="136"/>
      <c r="G20" s="1201">
        <f>'[33]LTD rate'!$U$20</f>
        <v>6.3500000000000001E-2</v>
      </c>
      <c r="H20" s="191"/>
      <c r="I20" s="136">
        <f t="shared" si="0"/>
        <v>15875000</v>
      </c>
      <c r="J20" s="10"/>
      <c r="K20" s="10"/>
      <c r="L20" s="10"/>
    </row>
    <row r="21" spans="1:16">
      <c r="A21" s="1009">
        <f t="shared" si="1"/>
        <v>6</v>
      </c>
      <c r="C21" s="763" t="s">
        <v>1612</v>
      </c>
      <c r="D21" s="130"/>
      <c r="E21" s="113">
        <f>AVERAGE('[33]LTD Budget 2012'!$BZ$71:$CL$71)</f>
        <v>400000000</v>
      </c>
      <c r="F21" s="136"/>
      <c r="G21" s="1201">
        <f>'[33]LTD rate'!$U$21</f>
        <v>5.5E-2</v>
      </c>
      <c r="H21" s="191"/>
      <c r="I21" s="136">
        <f>(E21*G21)</f>
        <v>22000000</v>
      </c>
      <c r="J21" s="10"/>
      <c r="K21" s="11"/>
      <c r="L21" s="10"/>
    </row>
    <row r="22" spans="1:16">
      <c r="A22" s="1009">
        <f t="shared" si="1"/>
        <v>7</v>
      </c>
      <c r="C22" s="763" t="s">
        <v>1613</v>
      </c>
      <c r="D22" s="130"/>
      <c r="E22" s="113">
        <f>AVERAGE('[33]LTD Budget 2012'!$BZ$68:$CL$68)</f>
        <v>450000000</v>
      </c>
      <c r="F22" s="136"/>
      <c r="G22" s="1201">
        <f>'[33]LTD rate'!$U$22</f>
        <v>8.5000000000000006E-2</v>
      </c>
      <c r="H22" s="191"/>
      <c r="I22" s="136">
        <f t="shared" si="0"/>
        <v>38250000</v>
      </c>
      <c r="J22" s="10"/>
      <c r="K22" s="10"/>
      <c r="L22" s="10"/>
    </row>
    <row r="23" spans="1:16">
      <c r="A23" s="1009">
        <f t="shared" si="1"/>
        <v>8</v>
      </c>
      <c r="C23" s="763" t="s">
        <v>1614</v>
      </c>
      <c r="D23" s="130"/>
      <c r="E23" s="113">
        <f>AVERAGE('[33]LTD Budget 2012'!$BZ$84:$CL$84)/2</f>
        <v>500000000</v>
      </c>
      <c r="F23" s="136"/>
      <c r="G23" s="1201">
        <f>'[33]LTD rate'!$U$23</f>
        <v>4.1500000000000002E-2</v>
      </c>
      <c r="H23" s="191"/>
      <c r="I23" s="136">
        <f t="shared" si="0"/>
        <v>20750000</v>
      </c>
    </row>
    <row r="24" spans="1:16">
      <c r="A24" s="1009">
        <f t="shared" si="1"/>
        <v>9</v>
      </c>
      <c r="C24" s="763" t="s">
        <v>1615</v>
      </c>
      <c r="D24" s="130"/>
      <c r="E24" s="113">
        <f>AVERAGE('[33]LTD Budget 2012'!$BZ$84:$CL$84)/2</f>
        <v>500000000</v>
      </c>
      <c r="F24" s="136"/>
      <c r="G24" s="1201">
        <f>'[33]LTD rate'!$U$24</f>
        <v>4.1250000000000002E-2</v>
      </c>
      <c r="H24" s="191"/>
      <c r="I24" s="576">
        <f t="shared" si="0"/>
        <v>20625000</v>
      </c>
    </row>
    <row r="25" spans="1:16">
      <c r="A25" s="1009">
        <f t="shared" si="1"/>
        <v>10</v>
      </c>
      <c r="C25" s="763" t="s">
        <v>101</v>
      </c>
      <c r="D25" s="130"/>
      <c r="E25" s="917">
        <f>SUM(E16:E24)</f>
        <v>2460000000</v>
      </c>
      <c r="F25" s="136"/>
      <c r="G25" s="1201"/>
      <c r="H25" s="130"/>
      <c r="I25" s="550">
        <f>SUM(I16:I24)</f>
        <v>140192000</v>
      </c>
    </row>
    <row r="26" spans="1:16">
      <c r="A26" s="1009">
        <f t="shared" si="1"/>
        <v>11</v>
      </c>
      <c r="C26" s="763"/>
      <c r="D26" s="130"/>
      <c r="E26" s="550"/>
      <c r="F26" s="136"/>
      <c r="G26" s="1201"/>
      <c r="H26" s="130"/>
      <c r="I26" s="136"/>
      <c r="M26" s="10"/>
      <c r="N26" s="10"/>
      <c r="O26" s="551"/>
      <c r="P26" s="10"/>
    </row>
    <row r="27" spans="1:16">
      <c r="A27" s="1009">
        <f t="shared" si="1"/>
        <v>12</v>
      </c>
      <c r="C27" s="763" t="s">
        <v>1360</v>
      </c>
      <c r="D27" s="130"/>
      <c r="E27" s="550"/>
      <c r="F27" s="136"/>
      <c r="G27" s="1201"/>
      <c r="H27" s="130"/>
      <c r="I27" s="550">
        <f>'[33]LTD rate'!$V$33</f>
        <v>4681606.9570000023</v>
      </c>
      <c r="J27" s="797"/>
      <c r="O27" s="551"/>
    </row>
    <row r="28" spans="1:16">
      <c r="A28" s="1009">
        <f t="shared" si="1"/>
        <v>13</v>
      </c>
      <c r="C28" s="763" t="s">
        <v>1361</v>
      </c>
      <c r="D28" s="130"/>
      <c r="E28" s="550">
        <f>-AVERAGE('[33]LTD Budget 2012'!$BZ$96:$CL$96)</f>
        <v>-4647441.7666666694</v>
      </c>
      <c r="F28" s="130"/>
      <c r="G28" s="756"/>
      <c r="H28" s="130"/>
      <c r="I28" s="114"/>
      <c r="M28" s="10"/>
      <c r="N28" s="10"/>
      <c r="O28" s="551"/>
      <c r="P28" s="10"/>
    </row>
    <row r="29" spans="1:16">
      <c r="A29" s="1009">
        <f t="shared" si="1"/>
        <v>14</v>
      </c>
      <c r="C29" s="763"/>
      <c r="D29" s="130"/>
      <c r="E29" s="455"/>
      <c r="F29" s="130"/>
      <c r="G29" s="1203"/>
      <c r="H29" s="130"/>
      <c r="I29" s="136"/>
      <c r="M29" s="10"/>
      <c r="N29" s="10"/>
      <c r="O29" s="551"/>
      <c r="P29" s="10"/>
    </row>
    <row r="30" spans="1:16">
      <c r="A30" s="1009">
        <f t="shared" si="1"/>
        <v>15</v>
      </c>
      <c r="C30" s="4"/>
      <c r="E30" s="97"/>
      <c r="G30" s="153"/>
      <c r="I30" s="10"/>
      <c r="M30" s="10"/>
      <c r="N30" s="10"/>
      <c r="O30" s="551"/>
      <c r="P30" s="10"/>
    </row>
    <row r="31" spans="1:16">
      <c r="A31" s="1009">
        <f t="shared" si="1"/>
        <v>16</v>
      </c>
      <c r="C31" s="4"/>
      <c r="E31" s="97"/>
      <c r="G31" s="152"/>
      <c r="I31" s="10"/>
      <c r="M31" s="10"/>
      <c r="N31" s="10"/>
      <c r="O31" s="551"/>
      <c r="P31" s="10"/>
    </row>
    <row r="32" spans="1:16">
      <c r="A32" s="1009">
        <f t="shared" si="1"/>
        <v>17</v>
      </c>
      <c r="E32" s="62"/>
      <c r="M32" s="10"/>
      <c r="N32" s="10"/>
      <c r="O32" s="551"/>
      <c r="P32" s="10"/>
    </row>
    <row r="33" spans="1:15" ht="16.5" thickBot="1">
      <c r="A33" s="1009">
        <f t="shared" si="1"/>
        <v>18</v>
      </c>
      <c r="C33" s="4" t="s">
        <v>1200</v>
      </c>
      <c r="E33" s="172">
        <f>+E25+E28</f>
        <v>2455352558.2333331</v>
      </c>
      <c r="I33" s="137">
        <f>+I25+I27</f>
        <v>144873606.95700002</v>
      </c>
      <c r="K33" s="173">
        <f>+I33/E33</f>
        <v>5.9003179185493013E-2</v>
      </c>
      <c r="O33" s="551"/>
    </row>
    <row r="34" spans="1:15" ht="15.75" thickTop="1">
      <c r="E34" s="10"/>
      <c r="O34" s="551"/>
    </row>
    <row r="36" spans="1:15">
      <c r="A36" s="2"/>
      <c r="C36" s="4"/>
      <c r="E36"/>
    </row>
    <row r="37" spans="1:15">
      <c r="C37" s="4" t="s">
        <v>332</v>
      </c>
      <c r="E37" s="10"/>
    </row>
    <row r="38" spans="1:15">
      <c r="E38" s="10"/>
    </row>
    <row r="39" spans="1:15">
      <c r="E39" s="10"/>
      <c r="F39" s="10"/>
      <c r="G39" s="25"/>
      <c r="H39" s="3"/>
      <c r="I39" s="10"/>
      <c r="J39" s="10"/>
      <c r="K39" s="10"/>
      <c r="L39" s="10"/>
    </row>
    <row r="40" spans="1:15">
      <c r="E40" s="10"/>
    </row>
    <row r="41" spans="1:15">
      <c r="E41" s="10"/>
      <c r="F41" s="10"/>
      <c r="G41" s="10"/>
      <c r="H41" s="3"/>
      <c r="I41" s="10"/>
      <c r="J41" s="10"/>
      <c r="K41" s="10"/>
      <c r="L41" s="10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75" right="0.42" top="1.24" bottom="1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>
      <selection activeCell="T8" sqref="T8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107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2015-00343</v>
      </c>
    </row>
    <row r="3" spans="1:19">
      <c r="A3" s="15"/>
      <c r="J3" s="2" t="s">
        <v>1</v>
      </c>
    </row>
    <row r="4" spans="1:19">
      <c r="A4" s="15"/>
      <c r="J4" s="938"/>
    </row>
    <row r="5" spans="1:19">
      <c r="Q5" s="491"/>
      <c r="S5" s="491" t="s">
        <v>1508</v>
      </c>
    </row>
    <row r="6" spans="1:19">
      <c r="A6" s="4" t="s">
        <v>581</v>
      </c>
      <c r="Q6" s="4"/>
      <c r="S6" s="648" t="s">
        <v>48</v>
      </c>
    </row>
    <row r="7" spans="1:19">
      <c r="A7" s="4" t="s">
        <v>1142</v>
      </c>
      <c r="Q7" s="4"/>
      <c r="S7" s="648" t="s">
        <v>871</v>
      </c>
    </row>
    <row r="8" spans="1:19">
      <c r="A8" s="5" t="s">
        <v>375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649" t="str">
        <f>'J-1 Base'!$M$9</f>
        <v>Witness:  Waller</v>
      </c>
    </row>
    <row r="10" spans="1:19">
      <c r="I10" s="2" t="s">
        <v>364</v>
      </c>
      <c r="M10" s="2" t="s">
        <v>367</v>
      </c>
    </row>
    <row r="11" spans="1:19">
      <c r="A11" s="2" t="s">
        <v>98</v>
      </c>
      <c r="C11" s="2" t="s">
        <v>408</v>
      </c>
      <c r="E11" s="2" t="s">
        <v>35</v>
      </c>
      <c r="G11" s="2" t="s">
        <v>109</v>
      </c>
      <c r="I11" s="2" t="s">
        <v>365</v>
      </c>
      <c r="K11" s="2" t="s">
        <v>362</v>
      </c>
      <c r="M11" s="2" t="s">
        <v>368</v>
      </c>
      <c r="O11" s="2" t="s">
        <v>370</v>
      </c>
      <c r="Q11" s="2" t="s">
        <v>1178</v>
      </c>
      <c r="S11" s="2" t="s">
        <v>373</v>
      </c>
    </row>
    <row r="12" spans="1:19">
      <c r="A12" s="2" t="s">
        <v>104</v>
      </c>
      <c r="C12" s="2" t="s">
        <v>513</v>
      </c>
      <c r="E12" s="2" t="s">
        <v>363</v>
      </c>
      <c r="G12" s="2" t="s">
        <v>359</v>
      </c>
      <c r="I12" s="2" t="s">
        <v>366</v>
      </c>
      <c r="K12" s="2" t="s">
        <v>275</v>
      </c>
      <c r="L12" s="16"/>
      <c r="M12" s="2" t="s">
        <v>369</v>
      </c>
      <c r="O12" s="2" t="s">
        <v>371</v>
      </c>
      <c r="Q12" s="2" t="s">
        <v>372</v>
      </c>
      <c r="S12" s="2" t="s">
        <v>374</v>
      </c>
    </row>
    <row r="13" spans="1:19">
      <c r="A13" s="6"/>
      <c r="B13" s="6"/>
      <c r="C13" s="6"/>
      <c r="D13" s="6"/>
      <c r="E13" s="9" t="s">
        <v>1101</v>
      </c>
      <c r="F13" s="6"/>
      <c r="G13" s="9" t="s">
        <v>1102</v>
      </c>
      <c r="H13" s="6"/>
      <c r="I13" s="9" t="s">
        <v>1103</v>
      </c>
      <c r="J13" s="6"/>
      <c r="K13" s="9" t="s">
        <v>15</v>
      </c>
      <c r="L13" s="6"/>
      <c r="M13" s="9" t="s">
        <v>39</v>
      </c>
      <c r="N13" s="6"/>
      <c r="O13" s="9" t="s">
        <v>539</v>
      </c>
      <c r="P13" s="6"/>
      <c r="Q13" s="9" t="s">
        <v>40</v>
      </c>
      <c r="R13" s="6"/>
      <c r="S13" s="9" t="s">
        <v>629</v>
      </c>
    </row>
    <row r="15" spans="1:19">
      <c r="F15" s="10"/>
      <c r="G15" s="10"/>
      <c r="H15" s="11"/>
      <c r="I15" s="3"/>
      <c r="J15" s="3"/>
      <c r="K15" s="24" t="s">
        <v>402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4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X23" sqref="X23"/>
    </sheetView>
  </sheetViews>
  <sheetFormatPr defaultColWidth="10.109375" defaultRowHeight="15"/>
  <cols>
    <col min="1" max="1" width="3.77734375" style="1" customWidth="1"/>
    <col min="2" max="2" width="2.44140625" style="1" customWidth="1"/>
    <col min="3" max="3" width="13" style="1" customWidth="1"/>
    <col min="4" max="4" width="2.109375" style="1" customWidth="1"/>
    <col min="5" max="5" width="2.44140625" style="1" customWidth="1"/>
    <col min="6" max="6" width="6.77734375" style="1" customWidth="1"/>
    <col min="7" max="7" width="2.44140625" style="1" customWidth="1"/>
    <col min="8" max="8" width="10.44140625" style="1" customWidth="1"/>
    <col min="9" max="9" width="2.44140625" style="1" customWidth="1"/>
    <col min="10" max="10" width="8.33203125" style="1" customWidth="1"/>
    <col min="11" max="11" width="2.44140625" style="1" customWidth="1"/>
    <col min="12" max="12" width="8" style="1" customWidth="1"/>
    <col min="13" max="13" width="2.44140625" style="1" customWidth="1"/>
    <col min="14" max="14" width="8.6640625" style="1" customWidth="1"/>
    <col min="15" max="15" width="2.44140625" style="1" customWidth="1"/>
    <col min="16" max="16" width="10.44140625" style="1" customWidth="1"/>
    <col min="17" max="17" width="2.44140625" style="1" customWidth="1"/>
    <col min="18" max="18" width="11.33203125" style="1" customWidth="1"/>
    <col min="19" max="19" width="1.88671875" style="1" customWidth="1"/>
    <col min="20" max="20" width="7.88671875" style="1" customWidth="1"/>
    <col min="21" max="21" width="2.44140625" style="1" customWidth="1"/>
    <col min="22" max="22" width="8.44140625" style="1" customWidth="1"/>
    <col min="23" max="23" width="6.77734375" style="1" bestFit="1" customWidth="1"/>
    <col min="24" max="24" width="9.44140625" style="1" bestFit="1" customWidth="1"/>
    <col min="25" max="16384" width="10.109375" style="1"/>
  </cols>
  <sheetData>
    <row r="1" spans="1:23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1256"/>
      <c r="T1" s="1256"/>
      <c r="U1" s="1256"/>
      <c r="V1" s="1256"/>
    </row>
    <row r="2" spans="1:23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</row>
    <row r="3" spans="1:23">
      <c r="A3" s="1256" t="s">
        <v>1601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256"/>
      <c r="T3" s="1256"/>
      <c r="U3" s="1256"/>
      <c r="V3" s="1256"/>
    </row>
    <row r="4" spans="1:23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1256"/>
      <c r="T4" s="1256"/>
      <c r="U4" s="1256"/>
      <c r="V4" s="1256"/>
    </row>
    <row r="5" spans="1:23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  <c r="S5" s="1256"/>
      <c r="T5" s="1256"/>
      <c r="U5" s="1256"/>
      <c r="V5" s="1256"/>
    </row>
    <row r="6" spans="1:23">
      <c r="L6" s="2"/>
    </row>
    <row r="8" spans="1:23">
      <c r="A8" s="4" t="s">
        <v>203</v>
      </c>
      <c r="V8" s="491" t="s">
        <v>1508</v>
      </c>
    </row>
    <row r="9" spans="1:23">
      <c r="A9" s="95" t="s">
        <v>631</v>
      </c>
      <c r="T9" s="4"/>
      <c r="V9" s="648" t="s">
        <v>793</v>
      </c>
    </row>
    <row r="10" spans="1:23" ht="16.5" thickBot="1">
      <c r="A10" s="5" t="s">
        <v>375</v>
      </c>
      <c r="B10" s="6"/>
      <c r="C10" s="6"/>
      <c r="D10" s="6"/>
      <c r="E10" s="6"/>
      <c r="F10" s="6"/>
      <c r="G10" s="6"/>
      <c r="H10" s="47"/>
      <c r="I10" s="47"/>
      <c r="J10" s="47"/>
      <c r="K10" s="47"/>
      <c r="L10" s="47"/>
      <c r="M10" s="47"/>
      <c r="N10" s="229" t="s">
        <v>518</v>
      </c>
      <c r="O10" s="228"/>
      <c r="P10" s="228"/>
      <c r="Q10" s="47"/>
      <c r="R10" s="47"/>
      <c r="S10" s="47"/>
      <c r="T10" s="5"/>
      <c r="U10" s="47"/>
      <c r="V10" s="649" t="str">
        <f>'J-1 Base'!$M$9</f>
        <v>Witness:  Waller</v>
      </c>
      <c r="W10" s="6"/>
    </row>
    <row r="11" spans="1:23" ht="15.75">
      <c r="H11" s="140" t="s">
        <v>333</v>
      </c>
      <c r="I11" s="141"/>
      <c r="J11" s="141"/>
      <c r="K11" s="141"/>
      <c r="L11" s="141"/>
      <c r="M11" s="141"/>
      <c r="N11" s="142"/>
      <c r="O11"/>
      <c r="P11" s="140" t="s">
        <v>334</v>
      </c>
      <c r="Q11" s="141"/>
      <c r="R11" s="141"/>
      <c r="S11" s="141"/>
      <c r="T11" s="141"/>
      <c r="U11" s="141"/>
      <c r="V11" s="142"/>
      <c r="W11" s="16"/>
    </row>
    <row r="12" spans="1:23">
      <c r="A12" s="2" t="s">
        <v>98</v>
      </c>
      <c r="F12" s="2" t="s">
        <v>100</v>
      </c>
      <c r="H12" s="143"/>
      <c r="I12" s="47"/>
      <c r="J12" s="46" t="s">
        <v>108</v>
      </c>
      <c r="K12" s="47"/>
      <c r="L12" s="47"/>
      <c r="M12" s="47"/>
      <c r="N12" s="144" t="s">
        <v>358</v>
      </c>
      <c r="P12" s="143"/>
      <c r="Q12" s="47"/>
      <c r="R12" s="46" t="s">
        <v>108</v>
      </c>
      <c r="S12" s="47"/>
      <c r="T12" s="47"/>
      <c r="U12" s="47"/>
      <c r="V12" s="144" t="s">
        <v>358</v>
      </c>
    </row>
    <row r="13" spans="1:23" ht="15.75" thickBot="1">
      <c r="A13" s="9" t="s">
        <v>104</v>
      </c>
      <c r="B13" s="6"/>
      <c r="C13" s="5" t="s">
        <v>357</v>
      </c>
      <c r="D13" s="6"/>
      <c r="E13" s="6"/>
      <c r="F13" s="9" t="s">
        <v>106</v>
      </c>
      <c r="G13" s="6"/>
      <c r="H13" s="145" t="s">
        <v>109</v>
      </c>
      <c r="I13" s="146"/>
      <c r="J13" s="147" t="s">
        <v>42</v>
      </c>
      <c r="K13" s="146"/>
      <c r="L13" s="147" t="s">
        <v>1178</v>
      </c>
      <c r="M13" s="146"/>
      <c r="N13" s="148" t="s">
        <v>0</v>
      </c>
      <c r="O13" s="47"/>
      <c r="P13" s="145" t="s">
        <v>109</v>
      </c>
      <c r="Q13" s="146"/>
      <c r="R13" s="147" t="s">
        <v>42</v>
      </c>
      <c r="S13" s="146"/>
      <c r="T13" s="147" t="s">
        <v>1178</v>
      </c>
      <c r="U13" s="146"/>
      <c r="V13" s="148" t="s">
        <v>0</v>
      </c>
      <c r="W13" s="6"/>
    </row>
    <row r="14" spans="1:23">
      <c r="F14" s="2" t="s">
        <v>1101</v>
      </c>
      <c r="H14" s="2" t="s">
        <v>1102</v>
      </c>
      <c r="J14" s="2" t="s">
        <v>1103</v>
      </c>
      <c r="L14" s="2" t="s">
        <v>15</v>
      </c>
      <c r="N14" s="2" t="s">
        <v>39</v>
      </c>
      <c r="O14" s="47"/>
      <c r="P14" s="2" t="s">
        <v>331</v>
      </c>
      <c r="R14" s="2" t="s">
        <v>40</v>
      </c>
      <c r="T14" s="2" t="s">
        <v>637</v>
      </c>
      <c r="V14" s="2" t="s">
        <v>638</v>
      </c>
    </row>
    <row r="15" spans="1:23">
      <c r="H15" s="2" t="s">
        <v>639</v>
      </c>
      <c r="J15" s="2" t="s">
        <v>154</v>
      </c>
      <c r="L15" s="2" t="s">
        <v>154</v>
      </c>
      <c r="N15" s="2" t="s">
        <v>154</v>
      </c>
      <c r="P15" s="2" t="s">
        <v>639</v>
      </c>
      <c r="R15" s="2" t="s">
        <v>154</v>
      </c>
      <c r="T15" s="2" t="s">
        <v>154</v>
      </c>
      <c r="V15" s="2" t="s">
        <v>154</v>
      </c>
    </row>
    <row r="17" spans="1:24">
      <c r="A17" s="2" t="s">
        <v>376</v>
      </c>
      <c r="C17" s="4" t="s">
        <v>277</v>
      </c>
      <c r="F17" s="10"/>
      <c r="G17" s="10"/>
      <c r="H17" s="113">
        <f>+'J-2 B'!F20</f>
        <v>415875.57768141665</v>
      </c>
      <c r="I17" s="113"/>
      <c r="J17" s="1206">
        <f>ROUND(H17/$H$29,4)</f>
        <v>6.8099999999999994E-2</v>
      </c>
      <c r="K17" s="113"/>
      <c r="L17" s="171">
        <f>+'J-2 B'!L20</f>
        <v>9.4300720778860338E-3</v>
      </c>
      <c r="M17" s="113"/>
      <c r="N17" s="171">
        <f>+J17*L17</f>
        <v>6.4218790850403883E-4</v>
      </c>
      <c r="O17" s="113"/>
      <c r="P17" s="113">
        <f>+'J-2 F'!F20</f>
        <v>415875.57768141665</v>
      </c>
      <c r="Q17" s="113"/>
      <c r="R17" s="1206">
        <f>ROUND(P17/$P$29,4)</f>
        <v>6.4699999999999994E-2</v>
      </c>
      <c r="S17" s="113"/>
      <c r="T17" s="171">
        <f>ROUND(+'J-2 F'!L20,4)</f>
        <v>9.4000000000000004E-3</v>
      </c>
      <c r="U17" s="1206"/>
      <c r="V17" s="171">
        <f>ROUND(R17*T17,4)</f>
        <v>5.9999999999999995E-4</v>
      </c>
      <c r="W17" s="68"/>
      <c r="X17" s="68"/>
    </row>
    <row r="18" spans="1:24">
      <c r="F18" s="10"/>
      <c r="G18" s="10"/>
      <c r="H18" s="113"/>
      <c r="I18" s="113"/>
      <c r="J18" s="113"/>
      <c r="K18" s="113"/>
      <c r="L18" s="171"/>
      <c r="M18" s="113"/>
      <c r="N18" s="171"/>
      <c r="O18" s="113"/>
      <c r="P18" s="113"/>
      <c r="Q18" s="113"/>
      <c r="R18" s="1206"/>
      <c r="S18" s="113"/>
      <c r="T18" s="171"/>
      <c r="U18" s="1206"/>
      <c r="V18" s="171"/>
      <c r="W18" s="68"/>
    </row>
    <row r="19" spans="1:24">
      <c r="A19" s="2" t="s">
        <v>378</v>
      </c>
      <c r="C19" s="4" t="s">
        <v>278</v>
      </c>
      <c r="F19" s="10"/>
      <c r="G19" s="10"/>
      <c r="H19" s="174">
        <f>'J-1 Base'!G21</f>
        <v>2455352.5582333333</v>
      </c>
      <c r="I19" s="113"/>
      <c r="J19" s="1207">
        <f>ROUND(H19/$H$29,5)</f>
        <v>0.40200000000000002</v>
      </c>
      <c r="K19" s="113"/>
      <c r="L19" s="171">
        <f>ROUND('J-3 B'!K33,4)</f>
        <v>5.8999999999999997E-2</v>
      </c>
      <c r="M19" s="113"/>
      <c r="N19" s="1208">
        <f>+J19*L19</f>
        <v>2.3717999999999999E-2</v>
      </c>
      <c r="O19" s="113"/>
      <c r="P19" s="174">
        <f>+'J-3 F'!E33*0.001</f>
        <v>2455780.4156833333</v>
      </c>
      <c r="Q19" s="113"/>
      <c r="R19" s="1207">
        <f>ROUND(P19/$P$29,4)</f>
        <v>0.3821</v>
      </c>
      <c r="S19" s="113"/>
      <c r="T19" s="171">
        <f>ROUND('J-3 F'!K33,4)</f>
        <v>5.8999999999999997E-2</v>
      </c>
      <c r="U19" s="1206"/>
      <c r="V19" s="1209">
        <f>ROUND(R19*T19,4)</f>
        <v>2.2499999999999999E-2</v>
      </c>
      <c r="W19" s="68"/>
      <c r="X19" s="68"/>
    </row>
    <row r="20" spans="1:24">
      <c r="F20" s="10"/>
      <c r="G20" s="10"/>
      <c r="H20" s="113"/>
      <c r="I20" s="113"/>
      <c r="J20" s="113"/>
      <c r="K20" s="113"/>
      <c r="L20" s="171"/>
      <c r="M20" s="113"/>
      <c r="N20" s="171"/>
      <c r="O20" s="113"/>
      <c r="P20" s="113"/>
      <c r="Q20" s="113"/>
      <c r="R20" s="113"/>
      <c r="S20" s="113"/>
      <c r="T20" s="171"/>
      <c r="U20" s="1206"/>
      <c r="V20" s="171"/>
      <c r="W20" s="68"/>
    </row>
    <row r="21" spans="1:24">
      <c r="A21" s="2" t="s">
        <v>380</v>
      </c>
      <c r="C21" s="4" t="s">
        <v>412</v>
      </c>
      <c r="F21" s="10"/>
      <c r="G21" s="10"/>
      <c r="H21" s="113">
        <f>H17+H19</f>
        <v>2871228.1359147499</v>
      </c>
      <c r="I21" s="113"/>
      <c r="J21" s="1206">
        <f>J17+J19</f>
        <v>0.47010000000000002</v>
      </c>
      <c r="K21" s="113"/>
      <c r="L21" s="171"/>
      <c r="M21" s="113"/>
      <c r="N21" s="171">
        <f>N17+N19</f>
        <v>2.4360187908504038E-2</v>
      </c>
      <c r="O21" s="113"/>
      <c r="P21" s="113">
        <f>P17+P19</f>
        <v>2871655.9933647499</v>
      </c>
      <c r="Q21" s="113"/>
      <c r="R21" s="1206">
        <f>R17+R19</f>
        <v>0.44679999999999997</v>
      </c>
      <c r="S21" s="113"/>
      <c r="T21" s="171"/>
      <c r="U21" s="1206"/>
      <c r="V21" s="171">
        <f>V17+V19</f>
        <v>2.3099999999999999E-2</v>
      </c>
      <c r="W21" s="68"/>
      <c r="X21" s="90"/>
    </row>
    <row r="22" spans="1:24">
      <c r="F22" s="10"/>
      <c r="G22" s="10"/>
      <c r="H22" s="113"/>
      <c r="I22" s="113"/>
      <c r="J22" s="113"/>
      <c r="K22" s="113"/>
      <c r="L22" s="171"/>
      <c r="M22" s="113"/>
      <c r="N22" s="171"/>
      <c r="O22" s="113"/>
      <c r="P22" s="113"/>
      <c r="Q22" s="113"/>
      <c r="R22" s="113"/>
      <c r="S22" s="113"/>
      <c r="T22" s="171"/>
      <c r="U22" s="1206"/>
      <c r="V22" s="171"/>
      <c r="W22" s="68"/>
    </row>
    <row r="23" spans="1:24">
      <c r="A23" s="2" t="s">
        <v>381</v>
      </c>
      <c r="C23" s="4" t="s">
        <v>279</v>
      </c>
      <c r="F23" s="10"/>
      <c r="G23" s="10"/>
      <c r="H23" s="113">
        <v>0</v>
      </c>
      <c r="I23" s="113"/>
      <c r="J23" s="1206">
        <f>ROUND(H23/$H$29,4)</f>
        <v>0</v>
      </c>
      <c r="K23" s="113"/>
      <c r="L23" s="171">
        <v>0</v>
      </c>
      <c r="M23" s="113"/>
      <c r="N23" s="171">
        <f>+J23*L23</f>
        <v>0</v>
      </c>
      <c r="O23" s="113"/>
      <c r="P23" s="113">
        <v>0</v>
      </c>
      <c r="Q23" s="113"/>
      <c r="R23" s="1206">
        <f>ROUND(P23/$P$29,4)</f>
        <v>0</v>
      </c>
      <c r="S23" s="113"/>
      <c r="T23" s="171">
        <v>0</v>
      </c>
      <c r="U23" s="1206"/>
      <c r="V23" s="171">
        <f>ROUND(R23*T23,4)</f>
        <v>0</v>
      </c>
      <c r="W23" s="68"/>
    </row>
    <row r="24" spans="1:24">
      <c r="H24" s="113"/>
      <c r="I24" s="123"/>
      <c r="J24" s="123"/>
      <c r="K24" s="123"/>
      <c r="L24" s="171"/>
      <c r="M24" s="123"/>
      <c r="N24" s="1210"/>
      <c r="O24" s="123"/>
      <c r="P24" s="113"/>
      <c r="Q24" s="123"/>
      <c r="R24" s="123"/>
      <c r="S24" s="123"/>
      <c r="T24" s="171"/>
      <c r="U24" s="1211"/>
      <c r="V24" s="1210"/>
      <c r="W24" s="68"/>
    </row>
    <row r="25" spans="1:24">
      <c r="A25" s="2" t="s">
        <v>382</v>
      </c>
      <c r="C25" s="4" t="s">
        <v>280</v>
      </c>
      <c r="H25" s="113">
        <f>'[33]LTD Budget 2012'!$FF$270</f>
        <v>3236641.9515410024</v>
      </c>
      <c r="I25" s="123"/>
      <c r="J25" s="1206">
        <f>ROUND(H25/$H$29,5)</f>
        <v>0.52990999999999999</v>
      </c>
      <c r="K25" s="123"/>
      <c r="L25" s="171">
        <f>Allocation!E25</f>
        <v>0.105</v>
      </c>
      <c r="M25" s="123"/>
      <c r="N25" s="171">
        <f>+J25*L25</f>
        <v>5.5640549999999997E-2</v>
      </c>
      <c r="O25" s="123"/>
      <c r="P25" s="113">
        <f>'[33]LTD Budget 2012'!$FG$270</f>
        <v>3554716.6367216702</v>
      </c>
      <c r="Q25" s="123"/>
      <c r="R25" s="1206">
        <f>+ROUND(P25/P29,5)</f>
        <v>0.55315000000000003</v>
      </c>
      <c r="S25" s="123"/>
      <c r="T25" s="171">
        <f>L25</f>
        <v>0.105</v>
      </c>
      <c r="U25" s="1211"/>
      <c r="V25" s="171">
        <f>ROUND(R25*T25,4)</f>
        <v>5.8099999999999999E-2</v>
      </c>
      <c r="W25" s="68"/>
      <c r="X25" s="68"/>
    </row>
    <row r="26" spans="1:24">
      <c r="H26" s="113"/>
      <c r="I26" s="123"/>
      <c r="J26" s="123"/>
      <c r="K26" s="123"/>
      <c r="L26" s="171"/>
      <c r="M26" s="123"/>
      <c r="N26" s="1210"/>
      <c r="O26" s="123"/>
      <c r="P26" s="113"/>
      <c r="Q26" s="123"/>
      <c r="R26" s="123"/>
      <c r="S26" s="123"/>
      <c r="T26" s="171"/>
      <c r="U26" s="1211"/>
      <c r="V26" s="1210"/>
      <c r="W26" s="68"/>
    </row>
    <row r="27" spans="1:24">
      <c r="A27" s="2" t="s">
        <v>383</v>
      </c>
      <c r="C27" s="4" t="s">
        <v>447</v>
      </c>
      <c r="H27" s="174">
        <v>0</v>
      </c>
      <c r="I27" s="123"/>
      <c r="J27" s="1212">
        <f>ROUND(H27/$H$29,4)</f>
        <v>0</v>
      </c>
      <c r="K27" s="123"/>
      <c r="L27" s="171">
        <v>0</v>
      </c>
      <c r="M27" s="123"/>
      <c r="N27" s="1208">
        <f>+J27*L27</f>
        <v>0</v>
      </c>
      <c r="O27" s="123"/>
      <c r="P27" s="174">
        <v>0</v>
      </c>
      <c r="Q27" s="123"/>
      <c r="R27" s="1212">
        <f>ROUND(P27/$H$29,4)</f>
        <v>0</v>
      </c>
      <c r="S27" s="123"/>
      <c r="T27" s="171">
        <v>0</v>
      </c>
      <c r="U27" s="1211"/>
      <c r="V27" s="1209">
        <f>ROUND(R27*T27,4)</f>
        <v>0</v>
      </c>
      <c r="W27" s="68"/>
    </row>
    <row r="28" spans="1:24">
      <c r="H28" s="113"/>
      <c r="I28" s="123"/>
      <c r="J28" s="123"/>
      <c r="K28" s="123"/>
      <c r="L28" s="171"/>
      <c r="M28" s="123"/>
      <c r="N28" s="123"/>
      <c r="O28" s="123"/>
      <c r="P28" s="113"/>
      <c r="Q28" s="123"/>
      <c r="R28" s="123"/>
      <c r="S28" s="123"/>
      <c r="T28" s="1206"/>
      <c r="U28" s="1211"/>
      <c r="V28" s="1211"/>
      <c r="W28" s="208"/>
    </row>
    <row r="29" spans="1:24" ht="15.75" thickBot="1">
      <c r="A29" s="2" t="s">
        <v>384</v>
      </c>
      <c r="C29" s="4" t="s">
        <v>413</v>
      </c>
      <c r="H29" s="1213">
        <f>H21+H25+H27</f>
        <v>6107870.0874557523</v>
      </c>
      <c r="I29" s="123"/>
      <c r="J29" s="1214">
        <f>SUM(J21:J27)</f>
        <v>1.0000100000000001</v>
      </c>
      <c r="K29" s="123"/>
      <c r="L29" s="1215"/>
      <c r="M29" s="123"/>
      <c r="N29" s="1216">
        <f>SUM(N21:N27)</f>
        <v>8.0000737908504038E-2</v>
      </c>
      <c r="O29" s="123"/>
      <c r="P29" s="1213">
        <f>SUM(P21:P27)</f>
        <v>6426372.6300864201</v>
      </c>
      <c r="Q29" s="123"/>
      <c r="R29" s="1214">
        <f>SUM(R21:R27)</f>
        <v>0.99995000000000001</v>
      </c>
      <c r="S29" s="123"/>
      <c r="T29" s="1206"/>
      <c r="U29" s="1211"/>
      <c r="V29" s="1216">
        <f>SUM(V21:V27)</f>
        <v>8.1199999999999994E-2</v>
      </c>
      <c r="W29" s="68"/>
      <c r="X29" s="20"/>
    </row>
    <row r="30" spans="1:24" ht="15.75" thickTop="1">
      <c r="H30" s="113"/>
      <c r="I30" s="123"/>
      <c r="J30" s="123"/>
      <c r="K30" s="123"/>
      <c r="L30" s="123"/>
      <c r="M30" s="123"/>
      <c r="N30" s="123"/>
      <c r="O30" s="123"/>
      <c r="P30" s="113"/>
      <c r="Q30" s="123"/>
      <c r="R30" s="123"/>
      <c r="S30" s="123"/>
      <c r="T30" s="1211"/>
      <c r="U30" s="1211"/>
      <c r="V30" s="1211"/>
    </row>
    <row r="31" spans="1:24"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4"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</row>
    <row r="33" spans="1:22"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</row>
    <row r="34" spans="1:22"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</row>
    <row r="35" spans="1:22" ht="16.5" thickBot="1">
      <c r="A35" s="45"/>
      <c r="B35" s="45"/>
      <c r="C35" s="45"/>
      <c r="D35" s="45"/>
      <c r="E35" s="45"/>
      <c r="F35" s="45"/>
      <c r="G35" s="45"/>
      <c r="H35" s="123"/>
      <c r="I35" s="123"/>
      <c r="J35" s="123"/>
      <c r="K35" s="123"/>
      <c r="L35" s="123"/>
      <c r="M35" s="123"/>
      <c r="N35" s="1204" t="s">
        <v>519</v>
      </c>
      <c r="O35" s="1217"/>
      <c r="P35" s="1217"/>
      <c r="Q35" s="123"/>
      <c r="R35" s="123"/>
      <c r="S35" s="123"/>
      <c r="T35" s="123"/>
      <c r="U35" s="123"/>
      <c r="V35" s="123"/>
    </row>
    <row r="36" spans="1:22" ht="15.75">
      <c r="H36" s="1205" t="s">
        <v>333</v>
      </c>
      <c r="I36" s="1218"/>
      <c r="J36" s="1218"/>
      <c r="K36" s="1218"/>
      <c r="L36" s="1218"/>
      <c r="M36" s="1218"/>
      <c r="N36" s="1219"/>
      <c r="O36" s="123"/>
      <c r="P36" s="1205" t="s">
        <v>334</v>
      </c>
      <c r="Q36" s="1218"/>
      <c r="R36" s="1218"/>
      <c r="S36" s="1218"/>
      <c r="T36" s="1218"/>
      <c r="U36" s="1218"/>
      <c r="V36" s="1219"/>
    </row>
    <row r="37" spans="1:22">
      <c r="A37" s="2" t="s">
        <v>98</v>
      </c>
      <c r="F37" s="2" t="s">
        <v>100</v>
      </c>
      <c r="H37" s="1220"/>
      <c r="I37" s="135"/>
      <c r="J37" s="1221" t="s">
        <v>108</v>
      </c>
      <c r="K37" s="135"/>
      <c r="L37" s="135"/>
      <c r="M37" s="135"/>
      <c r="N37" s="1222" t="s">
        <v>358</v>
      </c>
      <c r="O37" s="123"/>
      <c r="P37" s="1220"/>
      <c r="Q37" s="135"/>
      <c r="R37" s="1221" t="s">
        <v>108</v>
      </c>
      <c r="S37" s="135"/>
      <c r="T37" s="135"/>
      <c r="U37" s="135"/>
      <c r="V37" s="1222" t="s">
        <v>358</v>
      </c>
    </row>
    <row r="38" spans="1:22" ht="15.75" thickBot="1">
      <c r="A38" s="9" t="s">
        <v>104</v>
      </c>
      <c r="B38" s="6"/>
      <c r="C38" s="5" t="s">
        <v>357</v>
      </c>
      <c r="D38" s="6"/>
      <c r="E38" s="6"/>
      <c r="F38" s="9" t="s">
        <v>106</v>
      </c>
      <c r="G38" s="6"/>
      <c r="H38" s="1223" t="s">
        <v>109</v>
      </c>
      <c r="I38" s="1224"/>
      <c r="J38" s="1225" t="s">
        <v>42</v>
      </c>
      <c r="K38" s="1224"/>
      <c r="L38" s="1225" t="s">
        <v>1178</v>
      </c>
      <c r="M38" s="1224"/>
      <c r="N38" s="1226" t="s">
        <v>0</v>
      </c>
      <c r="O38" s="135"/>
      <c r="P38" s="1223" t="s">
        <v>109</v>
      </c>
      <c r="Q38" s="1224"/>
      <c r="R38" s="1225" t="s">
        <v>42</v>
      </c>
      <c r="S38" s="1224"/>
      <c r="T38" s="1225" t="s">
        <v>1178</v>
      </c>
      <c r="U38" s="1224"/>
      <c r="V38" s="1226" t="s">
        <v>0</v>
      </c>
    </row>
    <row r="39" spans="1:22">
      <c r="F39" s="2" t="s">
        <v>1101</v>
      </c>
      <c r="H39" s="1133" t="s">
        <v>1102</v>
      </c>
      <c r="I39" s="123"/>
      <c r="J39" s="1133" t="s">
        <v>1103</v>
      </c>
      <c r="K39" s="123"/>
      <c r="L39" s="1133" t="s">
        <v>15</v>
      </c>
      <c r="M39" s="123"/>
      <c r="N39" s="1133" t="s">
        <v>39</v>
      </c>
      <c r="O39" s="135"/>
      <c r="P39" s="1133" t="s">
        <v>331</v>
      </c>
      <c r="Q39" s="123"/>
      <c r="R39" s="1133" t="s">
        <v>40</v>
      </c>
      <c r="S39" s="123"/>
      <c r="T39" s="1133" t="s">
        <v>637</v>
      </c>
      <c r="U39" s="123"/>
      <c r="V39" s="1133" t="s">
        <v>638</v>
      </c>
    </row>
    <row r="40" spans="1:22">
      <c r="H40" s="1133" t="s">
        <v>639</v>
      </c>
      <c r="I40" s="123"/>
      <c r="J40" s="1133" t="s">
        <v>154</v>
      </c>
      <c r="K40" s="123"/>
      <c r="L40" s="1133" t="s">
        <v>154</v>
      </c>
      <c r="M40" s="123"/>
      <c r="N40" s="1133" t="s">
        <v>154</v>
      </c>
      <c r="O40" s="123"/>
      <c r="P40" s="1133" t="s">
        <v>639</v>
      </c>
      <c r="Q40" s="123"/>
      <c r="R40" s="1133" t="s">
        <v>154</v>
      </c>
      <c r="S40" s="123"/>
      <c r="T40" s="1133" t="s">
        <v>154</v>
      </c>
      <c r="U40" s="123"/>
      <c r="V40" s="1133" t="s">
        <v>154</v>
      </c>
    </row>
    <row r="41" spans="1:22"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</row>
    <row r="42" spans="1:22">
      <c r="A42" s="2">
        <v>8</v>
      </c>
      <c r="C42" s="4" t="s">
        <v>277</v>
      </c>
      <c r="F42" s="10"/>
      <c r="G42" s="10"/>
      <c r="H42" s="113">
        <f>+'J-2 B'!F20</f>
        <v>415875.57768141665</v>
      </c>
      <c r="I42" s="113"/>
      <c r="J42" s="1206">
        <f>ROUND(H42/$H$54,4)</f>
        <v>6.8099999999999994E-2</v>
      </c>
      <c r="K42" s="113"/>
      <c r="L42" s="171">
        <f>+'J-2 B'!L20</f>
        <v>9.4300720778860338E-3</v>
      </c>
      <c r="M42" s="113"/>
      <c r="N42" s="171">
        <f>+J42*L42</f>
        <v>6.4218790850403883E-4</v>
      </c>
      <c r="O42" s="113"/>
      <c r="P42" s="113">
        <f>+'J-2 F'!F20</f>
        <v>415875.57768141665</v>
      </c>
      <c r="Q42" s="113"/>
      <c r="R42" s="1206">
        <f>ROUND(P42/$P$54,4)</f>
        <v>6.4699999999999994E-2</v>
      </c>
      <c r="S42" s="113"/>
      <c r="T42" s="171">
        <f>ROUND(+'J-2 F'!L20,4)</f>
        <v>9.4000000000000004E-3</v>
      </c>
      <c r="U42" s="1206"/>
      <c r="V42" s="171">
        <f>ROUND(R42*T42,4)</f>
        <v>5.9999999999999995E-4</v>
      </c>
    </row>
    <row r="43" spans="1:22">
      <c r="F43" s="10"/>
      <c r="G43" s="10"/>
      <c r="H43" s="113"/>
      <c r="I43" s="113"/>
      <c r="J43" s="113"/>
      <c r="K43" s="113"/>
      <c r="L43" s="171"/>
      <c r="M43" s="113"/>
      <c r="N43" s="171"/>
      <c r="O43" s="113"/>
      <c r="P43" s="113"/>
      <c r="Q43" s="113"/>
      <c r="R43" s="1206"/>
      <c r="S43" s="113"/>
      <c r="T43" s="171"/>
      <c r="U43" s="1206"/>
      <c r="V43" s="171"/>
    </row>
    <row r="44" spans="1:22">
      <c r="A44" s="2">
        <v>9</v>
      </c>
      <c r="C44" s="4" t="s">
        <v>278</v>
      </c>
      <c r="F44" s="10"/>
      <c r="G44" s="10"/>
      <c r="H44" s="174">
        <f>H19</f>
        <v>2455352.5582333333</v>
      </c>
      <c r="I44" s="113"/>
      <c r="J44" s="1207">
        <f>ROUND(H44/$H$54,5)</f>
        <v>0.40200000000000002</v>
      </c>
      <c r="K44" s="113"/>
      <c r="L44" s="171">
        <f>ROUND('J-3 B'!K33,4)</f>
        <v>5.8999999999999997E-2</v>
      </c>
      <c r="M44" s="113"/>
      <c r="N44" s="1208">
        <f>+J44*L44</f>
        <v>2.3717999999999999E-2</v>
      </c>
      <c r="O44" s="113"/>
      <c r="P44" s="174">
        <f>+'J-3 F'!E33*0.001</f>
        <v>2455780.4156833333</v>
      </c>
      <c r="Q44" s="113"/>
      <c r="R44" s="1207">
        <f>ROUND(P44/$P$54,4)</f>
        <v>0.3821</v>
      </c>
      <c r="S44" s="113"/>
      <c r="T44" s="171">
        <f>ROUND('J-3 F'!K33,4)</f>
        <v>5.8999999999999997E-2</v>
      </c>
      <c r="U44" s="1206"/>
      <c r="V44" s="1209">
        <f>ROUND(R44*T44,4)</f>
        <v>2.2499999999999999E-2</v>
      </c>
    </row>
    <row r="45" spans="1:22">
      <c r="F45" s="10"/>
      <c r="G45" s="10"/>
      <c r="H45" s="113"/>
      <c r="I45" s="113"/>
      <c r="J45" s="113"/>
      <c r="K45" s="113"/>
      <c r="L45" s="171"/>
      <c r="M45" s="113"/>
      <c r="N45" s="171"/>
      <c r="O45" s="113"/>
      <c r="P45" s="113"/>
      <c r="Q45" s="113"/>
      <c r="R45" s="113"/>
      <c r="S45" s="113"/>
      <c r="T45" s="171"/>
      <c r="U45" s="1206"/>
      <c r="V45" s="171"/>
    </row>
    <row r="46" spans="1:22">
      <c r="A46" s="2">
        <v>10</v>
      </c>
      <c r="C46" s="4" t="s">
        <v>412</v>
      </c>
      <c r="F46" s="10"/>
      <c r="G46" s="10"/>
      <c r="H46" s="113">
        <f>H42+H44</f>
        <v>2871228.1359147499</v>
      </c>
      <c r="I46" s="113"/>
      <c r="J46" s="1206">
        <f>J42+J44</f>
        <v>0.47010000000000002</v>
      </c>
      <c r="K46" s="113"/>
      <c r="L46" s="171"/>
      <c r="M46" s="113"/>
      <c r="N46" s="171">
        <f>N42+N44</f>
        <v>2.4360187908504038E-2</v>
      </c>
      <c r="O46" s="113"/>
      <c r="P46" s="113">
        <f>P42+P44</f>
        <v>2871655.9933647499</v>
      </c>
      <c r="Q46" s="113"/>
      <c r="R46" s="1206">
        <f>R42+R44</f>
        <v>0.44679999999999997</v>
      </c>
      <c r="S46" s="113"/>
      <c r="T46" s="171"/>
      <c r="U46" s="1206"/>
      <c r="V46" s="171">
        <f>V42+V44</f>
        <v>2.3099999999999999E-2</v>
      </c>
    </row>
    <row r="47" spans="1:22">
      <c r="F47" s="10"/>
      <c r="G47" s="10"/>
      <c r="H47" s="113"/>
      <c r="I47" s="113"/>
      <c r="J47" s="113"/>
      <c r="K47" s="113"/>
      <c r="L47" s="171"/>
      <c r="M47" s="113"/>
      <c r="N47" s="171"/>
      <c r="O47" s="113"/>
      <c r="P47" s="113"/>
      <c r="Q47" s="113"/>
      <c r="R47" s="113"/>
      <c r="S47" s="113"/>
      <c r="T47" s="171"/>
      <c r="U47" s="1206"/>
      <c r="V47" s="171"/>
    </row>
    <row r="48" spans="1:22">
      <c r="A48" s="2">
        <v>11</v>
      </c>
      <c r="C48" s="4" t="s">
        <v>279</v>
      </c>
      <c r="F48" s="10"/>
      <c r="G48" s="10"/>
      <c r="H48" s="113">
        <v>0</v>
      </c>
      <c r="I48" s="113"/>
      <c r="J48" s="1206">
        <f>ROUND(H48/$H$54,4)</f>
        <v>0</v>
      </c>
      <c r="K48" s="113"/>
      <c r="L48" s="171">
        <v>0</v>
      </c>
      <c r="M48" s="113"/>
      <c r="N48" s="171">
        <f>+J48*L48</f>
        <v>0</v>
      </c>
      <c r="O48" s="113"/>
      <c r="P48" s="113">
        <v>0</v>
      </c>
      <c r="Q48" s="113"/>
      <c r="R48" s="1206">
        <f>ROUND(P48/$P$54,4)</f>
        <v>0</v>
      </c>
      <c r="S48" s="113"/>
      <c r="T48" s="171">
        <v>0</v>
      </c>
      <c r="U48" s="1206"/>
      <c r="V48" s="171">
        <f>ROUND(R48*T48,4)</f>
        <v>0</v>
      </c>
    </row>
    <row r="49" spans="1:22">
      <c r="H49" s="113"/>
      <c r="I49" s="123"/>
      <c r="J49" s="123"/>
      <c r="K49" s="123"/>
      <c r="L49" s="171"/>
      <c r="M49" s="123"/>
      <c r="N49" s="1210"/>
      <c r="O49" s="123"/>
      <c r="P49" s="113"/>
      <c r="Q49" s="123"/>
      <c r="R49" s="123"/>
      <c r="S49" s="123"/>
      <c r="T49" s="171"/>
      <c r="U49" s="1211"/>
      <c r="V49" s="1210"/>
    </row>
    <row r="50" spans="1:22">
      <c r="A50" s="2">
        <v>12</v>
      </c>
      <c r="C50" s="4" t="s">
        <v>280</v>
      </c>
      <c r="H50" s="113">
        <f>H25</f>
        <v>3236641.9515410024</v>
      </c>
      <c r="I50" s="123"/>
      <c r="J50" s="1206">
        <f>ROUND(H50/$H$54,5)</f>
        <v>0.52990999999999999</v>
      </c>
      <c r="K50" s="123"/>
      <c r="L50" s="171">
        <f>+N50/J50</f>
        <v>9.463320668195474E-2</v>
      </c>
      <c r="M50" s="123"/>
      <c r="N50" s="171">
        <f>+N54-N46</f>
        <v>5.0147082552834635E-2</v>
      </c>
      <c r="O50" s="123"/>
      <c r="P50" s="113">
        <f>P25</f>
        <v>3554716.6367216702</v>
      </c>
      <c r="Q50" s="123"/>
      <c r="R50" s="1206">
        <f>+ROUND(P50/P54,5)</f>
        <v>0.55315000000000003</v>
      </c>
      <c r="S50" s="123"/>
      <c r="T50" s="171">
        <f>+V50/R50</f>
        <v>9.4549398897224982E-2</v>
      </c>
      <c r="U50" s="1211"/>
      <c r="V50" s="171">
        <f>+V54-V46</f>
        <v>5.2299999999999999E-2</v>
      </c>
    </row>
    <row r="51" spans="1:22">
      <c r="H51" s="113"/>
      <c r="I51" s="123"/>
      <c r="J51" s="123"/>
      <c r="K51" s="123"/>
      <c r="L51" s="171"/>
      <c r="M51" s="123"/>
      <c r="N51" s="1210"/>
      <c r="O51" s="123"/>
      <c r="P51" s="113"/>
      <c r="Q51" s="123"/>
      <c r="R51" s="123"/>
      <c r="S51" s="123"/>
      <c r="T51" s="171"/>
      <c r="U51" s="1211"/>
      <c r="V51" s="1210"/>
    </row>
    <row r="52" spans="1:22">
      <c r="A52" s="2">
        <v>13</v>
      </c>
      <c r="C52" s="4" t="s">
        <v>447</v>
      </c>
      <c r="H52" s="174">
        <v>0</v>
      </c>
      <c r="I52" s="123"/>
      <c r="J52" s="1212">
        <f>ROUND(H52/$H$29,4)</f>
        <v>0</v>
      </c>
      <c r="K52" s="123"/>
      <c r="L52" s="171">
        <v>0</v>
      </c>
      <c r="M52" s="123"/>
      <c r="N52" s="1208">
        <f>+J52*L52</f>
        <v>0</v>
      </c>
      <c r="O52" s="123"/>
      <c r="P52" s="174">
        <v>0</v>
      </c>
      <c r="Q52" s="123"/>
      <c r="R52" s="1212">
        <f>ROUND(P52/$H$54,4)</f>
        <v>0</v>
      </c>
      <c r="S52" s="123"/>
      <c r="T52" s="171">
        <v>0</v>
      </c>
      <c r="U52" s="1211"/>
      <c r="V52" s="1209">
        <f>ROUND(R52*T52,4)</f>
        <v>0</v>
      </c>
    </row>
    <row r="53" spans="1:22">
      <c r="H53" s="113"/>
      <c r="I53" s="123"/>
      <c r="J53" s="123"/>
      <c r="K53" s="123"/>
      <c r="L53" s="171"/>
      <c r="M53" s="123"/>
      <c r="N53" s="123"/>
      <c r="O53" s="123"/>
      <c r="P53" s="113"/>
      <c r="Q53" s="123"/>
      <c r="R53" s="123"/>
      <c r="S53" s="123"/>
      <c r="T53" s="1206"/>
      <c r="U53" s="1211"/>
      <c r="V53" s="1211"/>
    </row>
    <row r="54" spans="1:22" ht="15.75" thickBot="1">
      <c r="A54" s="2">
        <v>14</v>
      </c>
      <c r="C54" s="4" t="s">
        <v>413</v>
      </c>
      <c r="H54" s="1213">
        <f>H46+H50+H52</f>
        <v>6107870.0874557523</v>
      </c>
      <c r="I54" s="123"/>
      <c r="J54" s="1214">
        <f>SUM(J46:J52)</f>
        <v>1.0000100000000001</v>
      </c>
      <c r="K54" s="123"/>
      <c r="L54" s="1215"/>
      <c r="M54" s="123"/>
      <c r="N54" s="1216">
        <f>+C.2!D33/'B.1 B'!F27</f>
        <v>7.4507270461338676E-2</v>
      </c>
      <c r="O54" s="123"/>
      <c r="P54" s="1213">
        <f>SUM(P46:P52)</f>
        <v>6426372.6300864201</v>
      </c>
      <c r="Q54" s="123"/>
      <c r="R54" s="1214">
        <f>SUM(R46:R52)</f>
        <v>0.99995000000000001</v>
      </c>
      <c r="S54" s="123"/>
      <c r="T54" s="1206"/>
      <c r="U54" s="1211"/>
      <c r="V54" s="1216">
        <f>+A.1!G20</f>
        <v>7.5399999999999995E-2</v>
      </c>
    </row>
    <row r="55" spans="1:22" ht="15.75" thickTop="1">
      <c r="H55" s="10"/>
      <c r="P55" s="10"/>
      <c r="T55" s="208"/>
      <c r="U55" s="208"/>
      <c r="V55" s="208"/>
    </row>
    <row r="56" spans="1:22"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22">
      <c r="F57" s="10"/>
      <c r="G57" s="10"/>
      <c r="H57" s="10"/>
      <c r="I57" s="10"/>
      <c r="J57" s="11"/>
      <c r="K57" s="10"/>
      <c r="L57" s="3"/>
      <c r="M57" s="10"/>
      <c r="N57" s="3"/>
      <c r="O57" s="10"/>
      <c r="P57" s="10"/>
    </row>
    <row r="58" spans="1:22">
      <c r="F58" s="10"/>
      <c r="G58" s="10"/>
      <c r="H58" s="10"/>
      <c r="I58" s="10"/>
      <c r="J58" s="10"/>
      <c r="K58" s="10"/>
      <c r="L58" s="3"/>
      <c r="M58" s="10"/>
      <c r="N58" s="10"/>
      <c r="O58" s="10"/>
      <c r="P58" s="10"/>
    </row>
    <row r="59" spans="1:22">
      <c r="F59" s="10"/>
      <c r="G59" s="10"/>
      <c r="H59" s="10"/>
      <c r="I59" s="10"/>
      <c r="J59" s="11"/>
      <c r="K59" s="10"/>
      <c r="L59" s="3"/>
      <c r="M59" s="10"/>
      <c r="N59" s="3"/>
      <c r="O59" s="10"/>
      <c r="P59" s="10"/>
    </row>
    <row r="60" spans="1:22">
      <c r="F60" s="10"/>
      <c r="G60" s="10"/>
      <c r="H60" s="10"/>
      <c r="I60" s="10"/>
      <c r="J60" s="10"/>
      <c r="K60" s="10"/>
      <c r="L60" s="3"/>
      <c r="M60" s="10"/>
      <c r="N60" s="10"/>
      <c r="O60" s="10"/>
      <c r="P60" s="10"/>
    </row>
    <row r="61" spans="1:22">
      <c r="F61" s="10"/>
      <c r="G61" s="10"/>
      <c r="H61" s="10"/>
      <c r="I61" s="10"/>
      <c r="J61" s="11"/>
      <c r="K61" s="10"/>
      <c r="L61" s="3"/>
      <c r="M61" s="10"/>
      <c r="N61" s="3"/>
      <c r="O61" s="10"/>
      <c r="P61" s="10"/>
    </row>
    <row r="62" spans="1:22">
      <c r="F62" s="10"/>
      <c r="G62" s="10"/>
      <c r="H62" s="10"/>
      <c r="I62" s="10"/>
      <c r="J62" s="10"/>
      <c r="K62" s="10"/>
      <c r="L62" s="10"/>
      <c r="M62" s="10"/>
      <c r="N62" s="10"/>
      <c r="O62" s="10"/>
    </row>
  </sheetData>
  <mergeCells count="5">
    <mergeCell ref="A5:V5"/>
    <mergeCell ref="A1:V1"/>
    <mergeCell ref="A2:V2"/>
    <mergeCell ref="A3:V3"/>
    <mergeCell ref="A4:V4"/>
  </mergeCells>
  <phoneticPr fontId="24" type="noConversion"/>
  <printOptions horizontalCentered="1"/>
  <pageMargins left="0.74" right="0.43" top="0.91" bottom="1" header="0.5" footer="0.5"/>
  <pageSetup scale="63" orientation="portrait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60" zoomScaleNormal="90" workbookViewId="0">
      <selection activeCell="N39" sqref="N39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2.664062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O1" s="10"/>
    </row>
    <row r="2" spans="1:23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</row>
    <row r="3" spans="1:23">
      <c r="A3" s="1256" t="s">
        <v>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</row>
    <row r="4" spans="1:23">
      <c r="A4" s="1256" t="s">
        <v>1410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</row>
    <row r="7" spans="1:23">
      <c r="A7" s="4" t="s">
        <v>1167</v>
      </c>
      <c r="M7" s="491" t="s">
        <v>1508</v>
      </c>
    </row>
    <row r="8" spans="1:23">
      <c r="A8" s="95" t="s">
        <v>631</v>
      </c>
      <c r="K8" s="4"/>
      <c r="M8" s="648" t="s">
        <v>793</v>
      </c>
    </row>
    <row r="9" spans="1:23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649" t="str">
        <f>'J-1 Base'!$M$9</f>
        <v>Witness:  Waller</v>
      </c>
    </row>
    <row r="10" spans="1:23">
      <c r="L10" s="16"/>
      <c r="M10" s="16"/>
      <c r="N10" s="16"/>
    </row>
    <row r="11" spans="1:23">
      <c r="A11" s="2" t="s">
        <v>98</v>
      </c>
      <c r="E11" s="2" t="s">
        <v>100</v>
      </c>
      <c r="I11" s="2" t="s">
        <v>108</v>
      </c>
      <c r="M11" s="2" t="s">
        <v>358</v>
      </c>
    </row>
    <row r="12" spans="1:23">
      <c r="A12" s="9" t="s">
        <v>104</v>
      </c>
      <c r="B12" s="6"/>
      <c r="C12" s="5" t="s">
        <v>357</v>
      </c>
      <c r="D12" s="6"/>
      <c r="E12" s="9" t="s">
        <v>106</v>
      </c>
      <c r="F12" s="6"/>
      <c r="G12" s="9" t="s">
        <v>109</v>
      </c>
      <c r="H12" s="6"/>
      <c r="I12" s="9" t="s">
        <v>42</v>
      </c>
      <c r="J12" s="6"/>
      <c r="K12" s="9" t="s">
        <v>1178</v>
      </c>
      <c r="L12" s="6"/>
      <c r="M12" s="9" t="s">
        <v>0</v>
      </c>
      <c r="O12" s="1074"/>
      <c r="P12" s="10"/>
      <c r="Q12" s="10"/>
      <c r="R12" s="10"/>
      <c r="S12" s="10"/>
      <c r="T12" s="10"/>
    </row>
    <row r="13" spans="1:23">
      <c r="E13" s="2" t="s">
        <v>1101</v>
      </c>
      <c r="G13" s="2" t="s">
        <v>1102</v>
      </c>
      <c r="I13" s="2" t="s">
        <v>1103</v>
      </c>
      <c r="K13" s="2" t="s">
        <v>15</v>
      </c>
      <c r="M13" s="2" t="s">
        <v>39</v>
      </c>
      <c r="O13" s="874"/>
      <c r="P13" s="10"/>
      <c r="Q13" s="10"/>
      <c r="R13" s="10"/>
      <c r="S13" s="10"/>
      <c r="T13" s="10"/>
    </row>
    <row r="14" spans="1:23">
      <c r="G14" s="2" t="s">
        <v>639</v>
      </c>
      <c r="K14" s="2" t="s">
        <v>154</v>
      </c>
      <c r="M14" s="2" t="s">
        <v>154</v>
      </c>
      <c r="O14" s="99"/>
      <c r="P14" s="99"/>
      <c r="Q14" s="107"/>
      <c r="R14" s="99"/>
      <c r="S14" s="99"/>
      <c r="T14" s="99"/>
      <c r="U14" s="107"/>
      <c r="V14" s="107"/>
      <c r="W14" s="107"/>
    </row>
    <row r="15" spans="1:23">
      <c r="O15" s="99"/>
      <c r="P15" s="99"/>
      <c r="Q15" s="107"/>
      <c r="R15" s="99"/>
      <c r="S15" s="99"/>
      <c r="T15" s="99"/>
      <c r="U15" s="107"/>
      <c r="V15" s="107"/>
      <c r="W15" s="107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65"/>
      <c r="J17" s="10"/>
      <c r="K17" s="10"/>
      <c r="L17" s="10"/>
      <c r="M17" s="10"/>
      <c r="N17" s="10"/>
      <c r="O17"/>
    </row>
    <row r="18" spans="1:20" ht="15.75">
      <c r="C18" s="270" t="s">
        <v>1602</v>
      </c>
      <c r="E18" s="10"/>
      <c r="F18" s="10"/>
      <c r="G18" s="256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1045">
        <v>6</v>
      </c>
      <c r="C20" s="4" t="s">
        <v>277</v>
      </c>
      <c r="E20" s="24"/>
      <c r="F20" s="10"/>
      <c r="G20" s="453">
        <f>J.1!P17</f>
        <v>415875.57768141665</v>
      </c>
      <c r="H20" s="10"/>
      <c r="I20" s="227">
        <f>G20/$G$28</f>
        <v>6.4713890964617785E-2</v>
      </c>
      <c r="J20" s="10"/>
      <c r="K20" s="149">
        <f>ROUND(+'J-2 F'!L20,4)</f>
        <v>9.4000000000000004E-3</v>
      </c>
      <c r="L20" s="10"/>
      <c r="M20" s="66">
        <f>ROUND(I20*K20,4)</f>
        <v>5.9999999999999995E-4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88"/>
      <c r="H21" s="10"/>
      <c r="I21" s="227"/>
      <c r="J21" s="10"/>
      <c r="K21" s="149"/>
      <c r="L21" s="10"/>
      <c r="M21" s="66"/>
      <c r="N21" s="10"/>
      <c r="O21"/>
      <c r="P21" s="10"/>
      <c r="Q21" s="10"/>
      <c r="R21" s="10"/>
      <c r="S21" s="10"/>
      <c r="T21" s="10"/>
    </row>
    <row r="22" spans="1:20">
      <c r="A22" s="1045">
        <v>7</v>
      </c>
      <c r="C22" s="4" t="s">
        <v>278</v>
      </c>
      <c r="E22" s="24" t="s">
        <v>281</v>
      </c>
      <c r="F22" s="10"/>
      <c r="G22" s="90">
        <f>+J.1!P19</f>
        <v>2455780.4156833333</v>
      </c>
      <c r="H22" s="10"/>
      <c r="I22" s="227">
        <f>G22/$G$28</f>
        <v>0.38214099260072143</v>
      </c>
      <c r="J22" s="10"/>
      <c r="K22" s="149">
        <f>ROUND('J-3 F'!K33,4)</f>
        <v>5.8999999999999997E-2</v>
      </c>
      <c r="L22" s="10"/>
      <c r="M22" s="66">
        <f>ROUND(I22*K22,4)</f>
        <v>2.2499999999999999E-2</v>
      </c>
      <c r="N22" s="10"/>
      <c r="O22"/>
    </row>
    <row r="23" spans="1:20">
      <c r="E23" s="10"/>
      <c r="F23" s="10"/>
      <c r="G23" s="90"/>
      <c r="H23" s="10"/>
      <c r="I23" s="227"/>
      <c r="J23" s="10"/>
      <c r="K23" s="66"/>
      <c r="L23" s="10"/>
      <c r="M23" s="66"/>
      <c r="N23" s="10"/>
      <c r="O23"/>
    </row>
    <row r="24" spans="1:20">
      <c r="A24" s="1045">
        <v>8</v>
      </c>
      <c r="C24" s="4" t="s">
        <v>279</v>
      </c>
      <c r="E24" s="24" t="s">
        <v>282</v>
      </c>
      <c r="F24" s="10"/>
      <c r="G24" s="90">
        <f>+J.1!P23</f>
        <v>0</v>
      </c>
      <c r="H24" s="10"/>
      <c r="I24" s="227">
        <f>G24/$G$28</f>
        <v>0</v>
      </c>
      <c r="J24" s="10"/>
      <c r="K24" s="66">
        <v>0</v>
      </c>
      <c r="L24" s="10"/>
      <c r="M24" s="66">
        <f>ROUND(I24*K24,4)</f>
        <v>0</v>
      </c>
      <c r="N24" s="10"/>
      <c r="O24"/>
    </row>
    <row r="25" spans="1:20">
      <c r="E25" s="10"/>
      <c r="F25" s="10"/>
      <c r="G25" s="90"/>
      <c r="H25" s="10"/>
      <c r="I25" s="227"/>
      <c r="J25" s="10"/>
      <c r="K25" s="66"/>
      <c r="L25" s="10"/>
      <c r="M25" s="66"/>
      <c r="N25" s="10"/>
      <c r="O25"/>
    </row>
    <row r="26" spans="1:20">
      <c r="A26" s="1045">
        <v>9</v>
      </c>
      <c r="C26" s="4" t="s">
        <v>280</v>
      </c>
      <c r="E26" s="10"/>
      <c r="F26" s="10"/>
      <c r="G26" s="754">
        <f>+J.1!P25</f>
        <v>3554716.6367216702</v>
      </c>
      <c r="H26" s="10"/>
      <c r="I26" s="271">
        <f>G26/$G$28</f>
        <v>0.5531451164346608</v>
      </c>
      <c r="J26" s="10"/>
      <c r="K26" s="66">
        <f>Allocation!E25</f>
        <v>0.105</v>
      </c>
      <c r="L26" s="10"/>
      <c r="M26" s="67">
        <f>ROUND(I26*K26,4)</f>
        <v>5.8099999999999999E-2</v>
      </c>
      <c r="N26" s="10"/>
      <c r="O26"/>
    </row>
    <row r="27" spans="1:20">
      <c r="G27" s="10"/>
      <c r="I27" s="272"/>
      <c r="K27" s="3"/>
      <c r="M27" s="68"/>
      <c r="O27"/>
    </row>
    <row r="28" spans="1:20" ht="15.75" thickBot="1">
      <c r="A28" s="2">
        <v>10</v>
      </c>
      <c r="C28" s="4" t="s">
        <v>413</v>
      </c>
      <c r="G28" s="420">
        <f>SUM(G20:G26)</f>
        <v>6426372.6300864201</v>
      </c>
      <c r="I28" s="273">
        <f>SUM(I20:I26)</f>
        <v>1</v>
      </c>
      <c r="K28" s="11"/>
      <c r="M28" s="69">
        <f>(+M20+M22+M24+M26)</f>
        <v>8.1199999999999994E-2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4" type="noConversion"/>
  <printOptions horizontalCentered="1"/>
  <pageMargins left="0.75" right="0.75" top="0.75" bottom="1.28" header="0.5" footer="0.43"/>
  <pageSetup scale="96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60" zoomScaleNormal="90" workbookViewId="0">
      <selection activeCell="D23" sqref="D23"/>
    </sheetView>
  </sheetViews>
  <sheetFormatPr defaultColWidth="10.109375" defaultRowHeight="15"/>
  <cols>
    <col min="1" max="1" width="5.88671875" style="1" customWidth="1"/>
    <col min="2" max="2" width="2.109375" style="1" customWidth="1"/>
    <col min="3" max="3" width="16.109375" style="1" customWidth="1"/>
    <col min="4" max="4" width="11" style="1" customWidth="1"/>
    <col min="5" max="5" width="5.109375" style="1" customWidth="1"/>
    <col min="6" max="6" width="10.109375" style="1"/>
    <col min="7" max="7" width="4.21875" style="1" customWidth="1"/>
    <col min="8" max="8" width="10.109375" style="1"/>
    <col min="9" max="9" width="4.21875" style="1" customWidth="1"/>
    <col min="10" max="10" width="10.109375" style="1"/>
    <col min="11" max="11" width="5.77734375" style="1" customWidth="1"/>
    <col min="12" max="12" width="12.6640625" style="1" customWidth="1"/>
    <col min="13" max="16384" width="10.109375" style="1"/>
  </cols>
  <sheetData>
    <row r="1" spans="1:17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</row>
    <row r="2" spans="1:17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</row>
    <row r="3" spans="1:17">
      <c r="A3" s="1256" t="s">
        <v>1048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</row>
    <row r="4" spans="1:17">
      <c r="A4" s="1256" t="s">
        <v>1362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N4" s="10"/>
      <c r="O4" s="10"/>
      <c r="P4" s="10"/>
      <c r="Q4" s="10"/>
    </row>
    <row r="5" spans="1:17">
      <c r="N5" s="10"/>
      <c r="O5" s="10"/>
      <c r="P5" s="10"/>
      <c r="Q5" s="10"/>
    </row>
    <row r="6" spans="1:17">
      <c r="N6" s="10"/>
      <c r="O6" s="10"/>
      <c r="P6" s="10"/>
      <c r="Q6" s="10"/>
    </row>
    <row r="7" spans="1:17">
      <c r="A7" s="4" t="s">
        <v>1167</v>
      </c>
      <c r="L7" s="491" t="s">
        <v>1508</v>
      </c>
      <c r="N7" s="10"/>
      <c r="O7" s="10"/>
      <c r="P7" s="10"/>
      <c r="Q7" s="10"/>
    </row>
    <row r="8" spans="1:17">
      <c r="A8" s="95" t="s">
        <v>631</v>
      </c>
      <c r="K8" s="4"/>
      <c r="L8" s="648" t="s">
        <v>50</v>
      </c>
      <c r="N8" s="10"/>
      <c r="O8" s="10"/>
      <c r="P8" s="10"/>
      <c r="Q8" s="10"/>
    </row>
    <row r="9" spans="1:17">
      <c r="A9" s="5" t="s">
        <v>375</v>
      </c>
      <c r="B9" s="6"/>
      <c r="C9" s="6"/>
      <c r="D9" s="6"/>
      <c r="E9" s="6"/>
      <c r="F9" s="6"/>
      <c r="G9" s="6"/>
      <c r="H9" s="6"/>
      <c r="I9" s="6"/>
      <c r="J9" s="6"/>
      <c r="K9" s="5"/>
      <c r="L9" s="649" t="str">
        <f>'J-1 Base'!$M$9</f>
        <v>Witness:  Waller</v>
      </c>
      <c r="N9" s="10"/>
      <c r="O9" s="10"/>
      <c r="P9" s="10"/>
      <c r="Q9" s="10"/>
    </row>
    <row r="10" spans="1:17">
      <c r="J10" s="2" t="s">
        <v>360</v>
      </c>
      <c r="L10" s="2" t="s">
        <v>1165</v>
      </c>
    </row>
    <row r="11" spans="1:17">
      <c r="A11" s="2"/>
      <c r="F11" s="2" t="s">
        <v>109</v>
      </c>
      <c r="H11" s="2" t="s">
        <v>274</v>
      </c>
      <c r="J11" s="2" t="s">
        <v>361</v>
      </c>
      <c r="L11" s="2" t="s">
        <v>274</v>
      </c>
    </row>
    <row r="12" spans="1:17">
      <c r="A12" s="9"/>
      <c r="B12" s="6"/>
      <c r="C12" s="9" t="s">
        <v>362</v>
      </c>
      <c r="D12" s="6"/>
      <c r="E12" s="6"/>
      <c r="F12" s="9" t="s">
        <v>359</v>
      </c>
      <c r="G12" s="6"/>
      <c r="H12" s="9" t="s">
        <v>586</v>
      </c>
      <c r="I12" s="6"/>
      <c r="J12" s="9" t="s">
        <v>0</v>
      </c>
      <c r="K12" s="6"/>
      <c r="L12" s="9" t="s">
        <v>586</v>
      </c>
    </row>
    <row r="13" spans="1:17">
      <c r="C13" s="2" t="s">
        <v>1101</v>
      </c>
      <c r="F13" s="2" t="s">
        <v>1102</v>
      </c>
      <c r="H13" s="2" t="s">
        <v>1103</v>
      </c>
      <c r="J13" s="2" t="s">
        <v>15</v>
      </c>
      <c r="L13" s="2" t="s">
        <v>173</v>
      </c>
    </row>
    <row r="14" spans="1:17">
      <c r="F14" s="2" t="s">
        <v>639</v>
      </c>
      <c r="J14" s="2" t="s">
        <v>639</v>
      </c>
    </row>
    <row r="15" spans="1:17">
      <c r="F15" s="130"/>
      <c r="G15" s="130"/>
      <c r="H15" s="130"/>
      <c r="I15" s="130"/>
      <c r="J15" s="130"/>
      <c r="K15" s="130"/>
      <c r="L15" s="130"/>
    </row>
    <row r="16" spans="1:17">
      <c r="A16" s="2">
        <v>1</v>
      </c>
      <c r="B16" s="107"/>
      <c r="C16" s="115" t="s">
        <v>921</v>
      </c>
      <c r="D16" s="107"/>
      <c r="E16" s="107"/>
      <c r="F16" s="136">
        <f>'J-2 B'!F16</f>
        <v>415875.57768141665</v>
      </c>
      <c r="G16" s="136"/>
      <c r="H16" s="1227">
        <f>'J-2 B'!H16</f>
        <v>3.9642820751121799E-3</v>
      </c>
      <c r="I16" s="191"/>
      <c r="J16" s="136">
        <f>(F16*H16)</f>
        <v>1648.6480980793629</v>
      </c>
      <c r="K16" s="136"/>
      <c r="L16" s="136"/>
      <c r="M16" s="10"/>
    </row>
    <row r="17" spans="1:13">
      <c r="B17" s="107"/>
      <c r="C17" s="107"/>
      <c r="D17" s="107"/>
      <c r="E17" s="107"/>
      <c r="F17" s="130"/>
      <c r="G17" s="130"/>
      <c r="H17" s="130"/>
      <c r="I17" s="130"/>
      <c r="J17" s="130"/>
      <c r="K17" s="130"/>
      <c r="L17" s="136"/>
    </row>
    <row r="18" spans="1:13">
      <c r="A18" s="2">
        <v>2</v>
      </c>
      <c r="B18" s="107"/>
      <c r="C18" s="115" t="s">
        <v>1345</v>
      </c>
      <c r="D18" s="107"/>
      <c r="E18" s="107"/>
      <c r="F18" s="136"/>
      <c r="G18" s="136"/>
      <c r="H18" s="136"/>
      <c r="I18" s="191"/>
      <c r="J18" s="136">
        <f>'J-2 B'!J18</f>
        <v>2273.0885748888886</v>
      </c>
      <c r="K18" s="136"/>
      <c r="L18" s="136"/>
      <c r="M18" s="10"/>
    </row>
    <row r="19" spans="1:13">
      <c r="B19" s="107"/>
      <c r="C19" s="107"/>
      <c r="D19" s="107"/>
      <c r="E19" s="107"/>
      <c r="F19" s="136"/>
      <c r="G19" s="136"/>
      <c r="H19" s="756"/>
      <c r="I19" s="136"/>
      <c r="J19" s="136"/>
      <c r="K19" s="136"/>
      <c r="L19" s="136"/>
      <c r="M19" s="10"/>
    </row>
    <row r="20" spans="1:13">
      <c r="A20" s="2">
        <v>3</v>
      </c>
      <c r="B20" s="107"/>
      <c r="C20" s="115" t="s">
        <v>920</v>
      </c>
      <c r="D20" s="107"/>
      <c r="E20" s="107"/>
      <c r="F20" s="156">
        <f>SUM(F16:F18)</f>
        <v>415875.57768141665</v>
      </c>
      <c r="G20" s="136"/>
      <c r="H20" s="136"/>
      <c r="I20" s="191"/>
      <c r="J20" s="156">
        <f>SUM(J16:J18)</f>
        <v>3921.7366729682517</v>
      </c>
      <c r="K20" s="136"/>
      <c r="L20" s="157">
        <f>(J20/F20)</f>
        <v>9.4300720778860338E-3</v>
      </c>
      <c r="M20" s="10"/>
    </row>
    <row r="21" spans="1:13">
      <c r="B21" s="107"/>
      <c r="C21" s="107"/>
      <c r="D21" s="107"/>
      <c r="E21" s="107"/>
      <c r="F21" s="136"/>
      <c r="G21" s="136"/>
      <c r="H21" s="756"/>
      <c r="I21" s="191"/>
      <c r="J21" s="191"/>
      <c r="K21" s="136"/>
      <c r="L21" s="136"/>
      <c r="M21" s="10"/>
    </row>
    <row r="22" spans="1:13">
      <c r="B22" s="107"/>
      <c r="C22" s="107"/>
      <c r="D22" s="107"/>
      <c r="E22" s="107"/>
      <c r="F22" s="136"/>
      <c r="G22" s="136"/>
      <c r="H22" s="756"/>
      <c r="I22" s="191"/>
      <c r="J22" s="191"/>
      <c r="K22" s="136"/>
      <c r="L22" s="136"/>
      <c r="M22" s="10"/>
    </row>
    <row r="23" spans="1:13">
      <c r="B23" s="107"/>
      <c r="C23" s="107"/>
      <c r="D23" s="107"/>
      <c r="E23" s="107"/>
      <c r="F23" s="99"/>
      <c r="G23" s="99"/>
      <c r="H23" s="155"/>
      <c r="I23" s="139"/>
      <c r="J23" s="139"/>
      <c r="K23" s="99"/>
      <c r="L23" s="99"/>
      <c r="M23" s="10"/>
    </row>
    <row r="24" spans="1:13" ht="15.75">
      <c r="A24" s="158"/>
      <c r="B24" s="107"/>
      <c r="C24" s="107"/>
      <c r="D24" s="107"/>
      <c r="E24" s="107"/>
      <c r="F24" s="107"/>
      <c r="G24" s="99"/>
      <c r="H24" s="107"/>
      <c r="I24" s="139"/>
      <c r="J24" s="107"/>
      <c r="K24" s="107"/>
      <c r="L24" s="99"/>
    </row>
    <row r="25" spans="1:13">
      <c r="B25" s="107"/>
      <c r="C25" s="115"/>
      <c r="D25" s="107"/>
      <c r="E25" s="107"/>
      <c r="F25" s="107"/>
      <c r="G25" s="99"/>
      <c r="H25" s="155"/>
      <c r="I25" s="139"/>
      <c r="J25" s="139"/>
      <c r="K25" s="107"/>
      <c r="L25" s="99"/>
    </row>
    <row r="26" spans="1:13">
      <c r="B26" s="107"/>
      <c r="C26" s="115"/>
      <c r="D26" s="107"/>
      <c r="E26" s="107"/>
      <c r="F26" s="107"/>
      <c r="G26" s="99"/>
      <c r="H26" s="155"/>
      <c r="I26" s="139"/>
      <c r="J26" s="139"/>
      <c r="K26" s="107"/>
      <c r="L26" s="99"/>
    </row>
    <row r="27" spans="1:13">
      <c r="B27" s="107"/>
      <c r="C27" s="924"/>
      <c r="D27" s="240"/>
      <c r="E27" s="240"/>
      <c r="F27" s="107"/>
      <c r="G27" s="107"/>
      <c r="H27" s="107"/>
      <c r="I27" s="107"/>
      <c r="J27" s="918"/>
      <c r="K27" s="107"/>
      <c r="L27" s="107"/>
    </row>
    <row r="28" spans="1:13">
      <c r="B28" s="107"/>
      <c r="C28" s="239"/>
      <c r="D28" s="240"/>
      <c r="E28" s="240"/>
      <c r="F28" s="107"/>
      <c r="G28" s="107"/>
      <c r="H28" s="107"/>
      <c r="I28" s="107"/>
      <c r="J28" s="107"/>
      <c r="K28" s="107"/>
      <c r="L28" s="107"/>
    </row>
    <row r="29" spans="1:13">
      <c r="B29" s="107"/>
      <c r="C29" s="159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3">
      <c r="B30" s="107"/>
      <c r="C30" s="159"/>
      <c r="D30" s="130"/>
      <c r="E30" s="130"/>
      <c r="F30" s="130"/>
      <c r="G30" s="136"/>
      <c r="H30" s="130"/>
      <c r="I30" s="191"/>
      <c r="J30" s="130"/>
      <c r="K30" s="130"/>
      <c r="L30" s="107"/>
    </row>
    <row r="31" spans="1:13">
      <c r="B31" s="107"/>
      <c r="C31" s="130"/>
      <c r="D31" s="130"/>
      <c r="E31" s="130"/>
      <c r="F31" s="130"/>
      <c r="G31" s="136"/>
      <c r="H31" s="136"/>
      <c r="I31" s="191"/>
      <c r="J31" s="191"/>
      <c r="K31" s="130"/>
      <c r="L31" s="107"/>
    </row>
    <row r="32" spans="1:13">
      <c r="B32" s="107"/>
      <c r="C32" s="159"/>
      <c r="D32" s="130"/>
      <c r="E32" s="130"/>
      <c r="F32" s="130"/>
      <c r="G32" s="136"/>
      <c r="H32" s="130"/>
      <c r="I32" s="130"/>
      <c r="J32" s="130"/>
      <c r="K32" s="130"/>
      <c r="L32" s="107"/>
    </row>
    <row r="33" spans="1:12">
      <c r="B33" s="107"/>
      <c r="C33" s="159"/>
      <c r="D33" s="130"/>
      <c r="E33" s="130"/>
      <c r="F33" s="130"/>
      <c r="G33" s="130"/>
      <c r="H33" s="130"/>
      <c r="I33" s="130"/>
      <c r="J33" s="130"/>
      <c r="K33" s="130"/>
      <c r="L33" s="107"/>
    </row>
    <row r="34" spans="1:12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>
      <c r="B35" s="107"/>
      <c r="C35" s="115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40" spans="1:12">
      <c r="A40" s="4"/>
      <c r="C40" s="4"/>
    </row>
    <row r="41" spans="1:12">
      <c r="C41" s="4"/>
    </row>
    <row r="42" spans="1:12">
      <c r="C42" s="4"/>
    </row>
    <row r="43" spans="1:12">
      <c r="C43" s="4"/>
    </row>
  </sheetData>
  <mergeCells count="4">
    <mergeCell ref="A1:L1"/>
    <mergeCell ref="A2:L2"/>
    <mergeCell ref="A3:L3"/>
    <mergeCell ref="A4:L4"/>
  </mergeCells>
  <phoneticPr fontId="24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V46"/>
  <sheetViews>
    <sheetView view="pageBreakPreview" zoomScale="80" zoomScaleNormal="90" zoomScaleSheetLayoutView="80" workbookViewId="0">
      <selection activeCell="I28" sqref="I28"/>
    </sheetView>
  </sheetViews>
  <sheetFormatPr defaultColWidth="8.5546875" defaultRowHeight="15"/>
  <cols>
    <col min="1" max="1" width="3.88671875" style="1" customWidth="1"/>
    <col min="2" max="2" width="1" style="1" customWidth="1"/>
    <col min="3" max="3" width="34.77734375" style="1" customWidth="1"/>
    <col min="4" max="4" width="4.109375" style="1" customWidth="1"/>
    <col min="5" max="5" width="14.88671875" style="1" customWidth="1"/>
    <col min="6" max="6" width="1.6640625" style="1" customWidth="1"/>
    <col min="7" max="7" width="6.44140625" style="1" customWidth="1"/>
    <col min="8" max="8" width="2" style="1" customWidth="1"/>
    <col min="9" max="9" width="13.33203125" style="1" customWidth="1"/>
    <col min="10" max="10" width="2.109375" style="1" customWidth="1"/>
    <col min="11" max="11" width="8.5546875" style="1" customWidth="1"/>
    <col min="12" max="12" width="8.5546875" style="1"/>
    <col min="13" max="13" width="12.6640625" style="1" customWidth="1"/>
    <col min="14" max="16384" width="8.5546875" style="1"/>
  </cols>
  <sheetData>
    <row r="1" spans="1:12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</row>
    <row r="2" spans="1:12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</row>
    <row r="3" spans="1:12">
      <c r="A3" s="1256" t="s">
        <v>1104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</row>
    <row r="4" spans="1:12">
      <c r="A4" s="1256" t="str">
        <f>'Table of Contents'!A4:C4</f>
        <v>Forecasted Test Period: Twelve Months Ended May 31, 2017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</row>
    <row r="5" spans="1:12">
      <c r="A5" s="939"/>
      <c r="B5" s="939"/>
      <c r="C5" s="939"/>
      <c r="D5" s="939"/>
      <c r="E5" s="939"/>
      <c r="F5" s="939"/>
      <c r="G5" s="939"/>
      <c r="H5" s="939"/>
      <c r="I5" s="939"/>
      <c r="J5" s="939"/>
      <c r="K5" s="939"/>
    </row>
    <row r="6" spans="1:12">
      <c r="K6" s="491" t="s">
        <v>1508</v>
      </c>
    </row>
    <row r="7" spans="1:12">
      <c r="A7" s="4" t="s">
        <v>1167</v>
      </c>
      <c r="K7" s="648" t="s">
        <v>49</v>
      </c>
    </row>
    <row r="8" spans="1:12">
      <c r="A8" s="95" t="s">
        <v>631</v>
      </c>
      <c r="K8" s="648" t="s">
        <v>871</v>
      </c>
    </row>
    <row r="9" spans="1:12">
      <c r="A9" s="5" t="s">
        <v>375</v>
      </c>
      <c r="B9" s="6"/>
      <c r="C9" s="6"/>
      <c r="D9" s="6"/>
      <c r="E9" s="6"/>
      <c r="F9" s="6"/>
      <c r="G9" s="6"/>
      <c r="H9" s="6"/>
      <c r="I9" s="6"/>
      <c r="J9" s="45"/>
      <c r="K9" s="649" t="str">
        <f>'J-1 Base'!$M$9</f>
        <v>Witness:  Waller</v>
      </c>
    </row>
    <row r="10" spans="1:12">
      <c r="E10" s="916" t="s">
        <v>1069</v>
      </c>
      <c r="I10" s="2" t="s">
        <v>360</v>
      </c>
      <c r="K10" s="2" t="s">
        <v>1165</v>
      </c>
    </row>
    <row r="11" spans="1:12">
      <c r="A11" s="2" t="s">
        <v>98</v>
      </c>
      <c r="E11" s="2" t="s">
        <v>109</v>
      </c>
      <c r="G11" s="2" t="s">
        <v>274</v>
      </c>
      <c r="I11" s="2" t="s">
        <v>361</v>
      </c>
      <c r="K11" s="2" t="s">
        <v>274</v>
      </c>
    </row>
    <row r="12" spans="1:12">
      <c r="A12" s="9" t="s">
        <v>104</v>
      </c>
      <c r="B12" s="6"/>
      <c r="C12" s="9" t="s">
        <v>362</v>
      </c>
      <c r="D12" s="6"/>
      <c r="E12" s="9" t="s">
        <v>359</v>
      </c>
      <c r="F12" s="6"/>
      <c r="G12" s="9" t="s">
        <v>586</v>
      </c>
      <c r="H12" s="6"/>
      <c r="I12" s="9" t="s">
        <v>0</v>
      </c>
      <c r="J12" s="6"/>
      <c r="K12" s="9" t="s">
        <v>586</v>
      </c>
    </row>
    <row r="13" spans="1:12">
      <c r="C13" s="2" t="s">
        <v>1101</v>
      </c>
      <c r="E13" s="2" t="s">
        <v>1102</v>
      </c>
      <c r="G13" s="2" t="s">
        <v>1103</v>
      </c>
      <c r="I13" s="2" t="s">
        <v>15</v>
      </c>
      <c r="K13" s="2" t="s">
        <v>173</v>
      </c>
    </row>
    <row r="14" spans="1:12">
      <c r="E14" s="2"/>
      <c r="I14" s="2"/>
    </row>
    <row r="15" spans="1:12">
      <c r="E15" s="130"/>
      <c r="F15" s="130"/>
      <c r="G15" s="130"/>
      <c r="H15" s="130"/>
      <c r="I15" s="130"/>
      <c r="J15" s="130"/>
    </row>
    <row r="16" spans="1:12">
      <c r="A16" s="2">
        <v>1</v>
      </c>
      <c r="C16" s="4" t="str">
        <f>'J-3 B'!C16</f>
        <v>6.75% Debentures Unsecured due July 2028</v>
      </c>
      <c r="D16" s="119"/>
      <c r="E16" s="442">
        <f>'J-3 B'!E16</f>
        <v>150000000</v>
      </c>
      <c r="F16" s="136"/>
      <c r="G16" s="1201">
        <f>'J-3 B'!G16</f>
        <v>6.7500000000000004E-2</v>
      </c>
      <c r="H16" s="191"/>
      <c r="I16" s="752">
        <f t="shared" ref="I16" si="0">(E16*G16)</f>
        <v>10125000</v>
      </c>
      <c r="J16" s="136"/>
      <c r="K16" s="66"/>
      <c r="L16" s="10"/>
    </row>
    <row r="17" spans="1:22">
      <c r="A17" s="915">
        <f>A16+1</f>
        <v>2</v>
      </c>
      <c r="C17" s="4" t="str">
        <f>'J-3 B'!C17</f>
        <v>6.67% MTN A1 due Dec 2025</v>
      </c>
      <c r="E17" s="113">
        <f>'J-3 B'!E17</f>
        <v>10000000</v>
      </c>
      <c r="F17" s="136"/>
      <c r="G17" s="1201">
        <f>'J-3 B'!G17</f>
        <v>6.6699999999999995E-2</v>
      </c>
      <c r="H17" s="191"/>
      <c r="I17" s="823">
        <f t="shared" ref="I17:I24" si="1">(E17*G17)</f>
        <v>667000</v>
      </c>
      <c r="J17" s="130"/>
    </row>
    <row r="18" spans="1:22">
      <c r="A18" s="1009">
        <f t="shared" ref="A18:A33" si="2">A17+1</f>
        <v>3</v>
      </c>
      <c r="C18" s="4" t="str">
        <f>'J-3 B'!C18</f>
        <v>4.95% Sr Note due 10/15/2014</v>
      </c>
      <c r="D18" s="119"/>
      <c r="E18" s="113">
        <v>0</v>
      </c>
      <c r="F18" s="130"/>
      <c r="G18" s="1201">
        <f>'J-3 B'!G18</f>
        <v>4.9500000000000002E-2</v>
      </c>
      <c r="H18" s="191"/>
      <c r="I18" s="823">
        <f t="shared" si="1"/>
        <v>0</v>
      </c>
      <c r="J18" s="136"/>
      <c r="K18" s="66"/>
      <c r="L18" s="874"/>
    </row>
    <row r="19" spans="1:22">
      <c r="A19" s="1009">
        <f t="shared" si="2"/>
        <v>4</v>
      </c>
      <c r="C19" s="4" t="str">
        <f>'J-3 B'!C19</f>
        <v>5.95% Sr Note due 10/15/2034</v>
      </c>
      <c r="D19" s="119"/>
      <c r="E19" s="113">
        <f>'J-3 B'!E19</f>
        <v>200000000</v>
      </c>
      <c r="F19" s="130"/>
      <c r="G19" s="1201">
        <f>'J-3 B'!G19</f>
        <v>5.9499999999999997E-2</v>
      </c>
      <c r="H19" s="136"/>
      <c r="I19" s="823">
        <f t="shared" si="1"/>
        <v>11900000</v>
      </c>
      <c r="J19" s="136"/>
      <c r="K19" s="66"/>
      <c r="L19" s="10"/>
    </row>
    <row r="20" spans="1:22">
      <c r="A20" s="1009">
        <f t="shared" si="2"/>
        <v>5</v>
      </c>
      <c r="C20" s="4" t="str">
        <f>'J-3 B'!C20</f>
        <v>6.35% Sr Note due 6/15/2017</v>
      </c>
      <c r="D20" s="119"/>
      <c r="E20" s="113">
        <f>'J-3 B'!E20</f>
        <v>250000000</v>
      </c>
      <c r="F20" s="136"/>
      <c r="G20" s="1201">
        <f>'J-3 B'!G20</f>
        <v>6.3500000000000001E-2</v>
      </c>
      <c r="H20" s="191"/>
      <c r="I20" s="823">
        <f t="shared" si="1"/>
        <v>15875000</v>
      </c>
      <c r="J20" s="136"/>
      <c r="K20" s="66"/>
      <c r="L20" s="10"/>
    </row>
    <row r="21" spans="1:22">
      <c r="A21" s="1009">
        <f t="shared" si="2"/>
        <v>6</v>
      </c>
      <c r="C21" s="4" t="str">
        <f>'J-3 B'!C21</f>
        <v>Sr Note 5.50% Due 06/15/2041</v>
      </c>
      <c r="D21" s="119"/>
      <c r="E21" s="113">
        <f>'J-3 B'!E21</f>
        <v>400000000</v>
      </c>
      <c r="F21" s="130"/>
      <c r="G21" s="1201">
        <f>'J-3 B'!G21</f>
        <v>5.5E-2</v>
      </c>
      <c r="H21" s="191"/>
      <c r="I21" s="823">
        <f t="shared" si="1"/>
        <v>22000000</v>
      </c>
      <c r="J21" s="136"/>
      <c r="K21" s="66"/>
      <c r="L21" s="10"/>
    </row>
    <row r="22" spans="1:22">
      <c r="A22" s="1009">
        <f t="shared" si="2"/>
        <v>7</v>
      </c>
      <c r="C22" s="4" t="str">
        <f>'J-3 B'!C22</f>
        <v>8.50% Sr Note due 3/15/2019</v>
      </c>
      <c r="D22" s="119"/>
      <c r="E22" s="113">
        <f>'J-3 B'!E22</f>
        <v>450000000</v>
      </c>
      <c r="F22" s="130"/>
      <c r="G22" s="1201">
        <f>'J-3 B'!G22</f>
        <v>8.5000000000000006E-2</v>
      </c>
      <c r="H22" s="191"/>
      <c r="I22" s="823">
        <f t="shared" si="1"/>
        <v>38250000</v>
      </c>
      <c r="J22" s="136"/>
      <c r="K22" s="66"/>
      <c r="L22" s="10"/>
    </row>
    <row r="23" spans="1:22">
      <c r="A23" s="1009">
        <f t="shared" si="2"/>
        <v>8</v>
      </c>
      <c r="C23" s="4" t="str">
        <f>'J-3 B'!C23</f>
        <v>4.15% Sr Note due 1/15/2043</v>
      </c>
      <c r="D23" s="119"/>
      <c r="E23" s="113">
        <f>'J-3 B'!E23</f>
        <v>500000000</v>
      </c>
      <c r="F23" s="130"/>
      <c r="G23" s="1201">
        <f>'J-3 B'!G23</f>
        <v>4.1500000000000002E-2</v>
      </c>
      <c r="H23" s="191"/>
      <c r="I23" s="823">
        <f t="shared" si="1"/>
        <v>20750000</v>
      </c>
      <c r="J23" s="136"/>
      <c r="K23" s="66"/>
      <c r="L23" s="10"/>
    </row>
    <row r="24" spans="1:22">
      <c r="A24" s="1009">
        <f t="shared" si="2"/>
        <v>9</v>
      </c>
      <c r="C24" s="4" t="str">
        <f>'J-3 B'!C24</f>
        <v>4.125% Sr Note due 10/15/2044</v>
      </c>
      <c r="D24" s="119"/>
      <c r="E24" s="113">
        <v>500000000</v>
      </c>
      <c r="F24" s="130"/>
      <c r="G24" s="1201">
        <f>'J-3 B'!G24</f>
        <v>4.1250000000000002E-2</v>
      </c>
      <c r="H24" s="191"/>
      <c r="I24" s="823">
        <f t="shared" si="1"/>
        <v>20625000</v>
      </c>
      <c r="J24" s="130"/>
      <c r="K24" s="68"/>
      <c r="L24" s="1060"/>
    </row>
    <row r="25" spans="1:22">
      <c r="A25" s="1009">
        <f t="shared" si="2"/>
        <v>10</v>
      </c>
      <c r="C25" s="4" t="s">
        <v>101</v>
      </c>
      <c r="E25" s="970">
        <f>SUM(E16:E24)</f>
        <v>2460000000</v>
      </c>
      <c r="F25" s="136"/>
      <c r="G25" s="1206"/>
      <c r="H25" s="130"/>
      <c r="I25" s="935">
        <f>SUM(I16:I24)</f>
        <v>140192000</v>
      </c>
      <c r="J25" s="130"/>
    </row>
    <row r="26" spans="1:22">
      <c r="A26" s="1009">
        <f t="shared" si="2"/>
        <v>11</v>
      </c>
      <c r="C26" s="4"/>
      <c r="E26" s="113"/>
      <c r="F26" s="130"/>
      <c r="G26" s="1206"/>
      <c r="H26" s="130"/>
      <c r="I26" s="136"/>
      <c r="J26" s="130"/>
    </row>
    <row r="27" spans="1:22">
      <c r="A27" s="1009">
        <f t="shared" si="2"/>
        <v>12</v>
      </c>
      <c r="C27" s="4" t="s">
        <v>1360</v>
      </c>
      <c r="E27" s="123"/>
      <c r="F27" s="130"/>
      <c r="G27" s="1206"/>
      <c r="H27" s="130"/>
      <c r="I27" s="455">
        <f>'J-3 B'!I27</f>
        <v>4681606.9570000023</v>
      </c>
      <c r="J27" s="130"/>
      <c r="L27" s="771"/>
    </row>
    <row r="28" spans="1:22">
      <c r="A28" s="1009">
        <f t="shared" si="2"/>
        <v>13</v>
      </c>
      <c r="C28" s="4" t="s">
        <v>1361</v>
      </c>
      <c r="E28" s="550">
        <f>-AVERAGE('[33]LTD Budget 2012'!$CO$96:$DA$96)</f>
        <v>-4219584.3166666692</v>
      </c>
      <c r="F28" s="136"/>
      <c r="G28" s="1206"/>
      <c r="H28" s="191"/>
      <c r="I28" s="136"/>
      <c r="J28" s="130"/>
      <c r="L28" s="771"/>
      <c r="N28" s="159"/>
      <c r="O28" s="107"/>
      <c r="P28" s="107"/>
      <c r="Q28" s="107"/>
      <c r="R28" s="107"/>
      <c r="S28" s="107"/>
      <c r="T28" s="107"/>
      <c r="U28" s="107"/>
      <c r="V28" s="107"/>
    </row>
    <row r="29" spans="1:22">
      <c r="A29" s="1009">
        <f t="shared" si="2"/>
        <v>14</v>
      </c>
      <c r="C29" s="4"/>
      <c r="E29" s="136"/>
      <c r="F29" s="130"/>
      <c r="G29" s="1228"/>
      <c r="H29" s="130"/>
      <c r="I29" s="130"/>
      <c r="J29" s="130"/>
      <c r="N29" s="1060"/>
    </row>
    <row r="30" spans="1:22">
      <c r="A30" s="1009">
        <f t="shared" si="2"/>
        <v>15</v>
      </c>
      <c r="E30" s="130"/>
      <c r="F30" s="130"/>
      <c r="G30" s="130"/>
      <c r="H30" s="130"/>
      <c r="I30" s="130"/>
      <c r="J30" s="130"/>
    </row>
    <row r="31" spans="1:22">
      <c r="A31" s="1009">
        <f t="shared" si="2"/>
        <v>16</v>
      </c>
      <c r="E31" s="10"/>
      <c r="G31" s="150"/>
    </row>
    <row r="32" spans="1:22">
      <c r="A32" s="1009">
        <f t="shared" si="2"/>
        <v>17</v>
      </c>
    </row>
    <row r="33" spans="1:11" ht="15.75" thickBot="1">
      <c r="A33" s="1009">
        <f t="shared" si="2"/>
        <v>18</v>
      </c>
      <c r="C33" s="4" t="s">
        <v>1200</v>
      </c>
      <c r="E33" s="425">
        <f>+E25+E28</f>
        <v>2455780415.6833334</v>
      </c>
      <c r="G33" s="150"/>
      <c r="I33" s="425">
        <f>+I25+I27</f>
        <v>144873606.95700002</v>
      </c>
      <c r="K33" s="151">
        <f>+I33/E33</f>
        <v>5.8992899378052986E-2</v>
      </c>
    </row>
    <row r="34" spans="1:11" ht="15.75" thickTop="1"/>
    <row r="35" spans="1:11">
      <c r="A35" s="4"/>
      <c r="C35" s="4"/>
    </row>
    <row r="36" spans="1:11">
      <c r="C36" s="4"/>
    </row>
    <row r="37" spans="1:11">
      <c r="C37" s="4"/>
    </row>
    <row r="39" spans="1:11">
      <c r="G39" s="551"/>
    </row>
    <row r="40" spans="1:11">
      <c r="G40" s="551"/>
    </row>
    <row r="41" spans="1:11">
      <c r="G41" s="551"/>
    </row>
    <row r="42" spans="1:11">
      <c r="G42" s="551"/>
    </row>
    <row r="43" spans="1:11">
      <c r="G43" s="551"/>
    </row>
    <row r="44" spans="1:11">
      <c r="G44" s="551"/>
    </row>
    <row r="45" spans="1:11">
      <c r="G45" s="551"/>
    </row>
    <row r="46" spans="1:11">
      <c r="G46" s="551"/>
    </row>
  </sheetData>
  <mergeCells count="4">
    <mergeCell ref="A1:K1"/>
    <mergeCell ref="A2:K2"/>
    <mergeCell ref="A3:K3"/>
    <mergeCell ref="A4:K4"/>
  </mergeCells>
  <phoneticPr fontId="24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60" zoomScaleNormal="90" workbookViewId="0">
      <pane xSplit="6" ySplit="13" topLeftCell="G14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6.44140625" defaultRowHeight="15"/>
  <cols>
    <col min="1" max="1" width="4.3320312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7" width="11.77734375" style="1" bestFit="1" customWidth="1"/>
    <col min="8" max="8" width="12.44140625" style="1" bestFit="1" customWidth="1"/>
    <col min="9" max="10" width="9.88671875" style="1" customWidth="1"/>
    <col min="11" max="11" width="9.44140625" style="1" customWidth="1"/>
    <col min="12" max="12" width="9.77734375" style="1" customWidth="1"/>
    <col min="13" max="13" width="9.44140625" style="1" bestFit="1" customWidth="1"/>
    <col min="14" max="14" width="9.88671875" style="1" customWidth="1"/>
    <col min="15" max="15" width="9.5546875" style="1" customWidth="1"/>
    <col min="16" max="18" width="9.77734375" style="1" customWidth="1"/>
    <col min="19" max="19" width="9.44140625" style="1" customWidth="1"/>
    <col min="20" max="20" width="7.21875" style="1" customWidth="1"/>
    <col min="21" max="22" width="6.44140625" style="1"/>
    <col min="23" max="23" width="9.33203125" style="1" customWidth="1"/>
    <col min="24" max="24" width="6.44140625" style="1"/>
    <col min="25" max="25" width="10.6640625" style="1" customWidth="1"/>
    <col min="26" max="16384" width="6.44140625" style="1"/>
  </cols>
  <sheetData>
    <row r="1" spans="1:36" ht="15.75">
      <c r="A1" s="1256" t="str">
        <f>'Table of Contents'!A1:C1</f>
        <v>Atmos Energy Corporation, Kentucky/Mid-States Division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6"/>
      <c r="S1" s="854"/>
    </row>
    <row r="2" spans="1:36">
      <c r="A2" s="1256" t="str">
        <f>'Table of Contents'!A2:C2</f>
        <v>Kentucky Jurisdiction Case No. 2015-00343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4"/>
    </row>
    <row r="3" spans="1:36">
      <c r="A3" s="1256" t="s">
        <v>25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  <c r="R3" s="1256"/>
      <c r="S3" s="15"/>
    </row>
    <row r="4" spans="1:36">
      <c r="A4" s="1256" t="str">
        <f>'Table of Contents'!A3:C3</f>
        <v>Base Period: Twelve Months Ended February 29, 2016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</row>
    <row r="5" spans="1:36">
      <c r="A5" s="1256" t="str">
        <f>'Table of Contents'!A4:C4</f>
        <v>Forecasted Test Period: Twelve Months Ended May 31, 2017</v>
      </c>
      <c r="B5" s="1256"/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6"/>
    </row>
    <row r="6" spans="1:36">
      <c r="A6" s="1256" t="s">
        <v>1254</v>
      </c>
      <c r="B6" s="1256"/>
      <c r="C6" s="1256"/>
      <c r="D6" s="1256"/>
      <c r="E6" s="1256"/>
      <c r="F6" s="1256"/>
      <c r="G6" s="1256"/>
      <c r="H6" s="1256"/>
      <c r="I6" s="1256"/>
      <c r="J6" s="1256"/>
      <c r="K6" s="1256"/>
      <c r="L6" s="1256"/>
      <c r="M6" s="1256"/>
      <c r="N6" s="1256"/>
      <c r="O6" s="1256"/>
      <c r="P6" s="1256"/>
      <c r="Q6" s="1256"/>
      <c r="R6" s="1256"/>
      <c r="S6" s="771"/>
    </row>
    <row r="7" spans="1:36">
      <c r="A7" s="2"/>
      <c r="N7" s="4"/>
    </row>
    <row r="8" spans="1:36">
      <c r="A8" s="4" t="s">
        <v>203</v>
      </c>
      <c r="J8" s="107"/>
      <c r="K8" s="107"/>
      <c r="N8" s="4"/>
      <c r="O8" s="4"/>
      <c r="Q8" s="4"/>
      <c r="R8" s="491" t="s">
        <v>1509</v>
      </c>
    </row>
    <row r="9" spans="1:36">
      <c r="A9" s="95" t="s">
        <v>1068</v>
      </c>
      <c r="J9" s="107"/>
      <c r="K9" s="107"/>
      <c r="N9" s="4"/>
      <c r="O9" s="4"/>
      <c r="Q9" s="4"/>
      <c r="R9" s="648" t="s">
        <v>47</v>
      </c>
    </row>
    <row r="10" spans="1:36">
      <c r="A10" s="5" t="s">
        <v>375</v>
      </c>
      <c r="B10" s="6"/>
      <c r="C10" s="6"/>
      <c r="D10" s="6"/>
      <c r="E10" s="6"/>
      <c r="F10" s="6"/>
      <c r="G10" s="6"/>
      <c r="H10" s="6"/>
      <c r="I10" s="6"/>
      <c r="J10" s="207"/>
      <c r="K10" s="207"/>
      <c r="L10" s="6"/>
      <c r="M10" s="6"/>
      <c r="N10" s="6"/>
      <c r="O10" s="73"/>
      <c r="P10" s="6"/>
      <c r="Q10" s="5"/>
      <c r="R10" s="889" t="s">
        <v>1396</v>
      </c>
    </row>
    <row r="11" spans="1:36">
      <c r="T11" s="1060"/>
    </row>
    <row r="12" spans="1:36">
      <c r="A12" s="4" t="s">
        <v>98</v>
      </c>
      <c r="G12" s="2" t="s">
        <v>44</v>
      </c>
      <c r="H12" s="2" t="s">
        <v>45</v>
      </c>
      <c r="I12" s="6"/>
      <c r="J12" s="6"/>
      <c r="K12" s="6"/>
      <c r="L12" s="6"/>
      <c r="M12" s="9" t="s">
        <v>635</v>
      </c>
      <c r="N12" s="9"/>
      <c r="O12" s="6"/>
      <c r="P12" s="6"/>
      <c r="Q12" s="6"/>
      <c r="R12" s="6"/>
    </row>
    <row r="13" spans="1:36">
      <c r="A13" s="5" t="s">
        <v>104</v>
      </c>
      <c r="B13" s="6"/>
      <c r="C13" s="9" t="s">
        <v>1004</v>
      </c>
      <c r="D13" s="6"/>
      <c r="E13" s="6"/>
      <c r="F13" s="6"/>
      <c r="G13" s="9" t="s">
        <v>553</v>
      </c>
      <c r="H13" s="9" t="s">
        <v>553</v>
      </c>
      <c r="I13" s="913">
        <v>2014</v>
      </c>
      <c r="J13" s="913">
        <v>2013</v>
      </c>
      <c r="K13" s="913">
        <v>2012</v>
      </c>
      <c r="L13" s="913">
        <v>2011</v>
      </c>
      <c r="M13" s="913">
        <v>2010</v>
      </c>
      <c r="N13" s="913">
        <v>2009</v>
      </c>
      <c r="O13" s="913">
        <v>2008</v>
      </c>
      <c r="P13" s="913">
        <v>2007</v>
      </c>
      <c r="Q13" s="913">
        <v>2006</v>
      </c>
      <c r="R13" s="913">
        <v>2005</v>
      </c>
    </row>
    <row r="14" spans="1:36">
      <c r="K14" s="1" t="s">
        <v>332</v>
      </c>
    </row>
    <row r="15" spans="1:36" ht="15.75">
      <c r="A15" s="2">
        <v>1</v>
      </c>
      <c r="B15" s="17" t="s">
        <v>1175</v>
      </c>
      <c r="C15" s="16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854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15.75">
      <c r="A16" s="2">
        <f>A15+1</f>
        <v>2</v>
      </c>
      <c r="B16" s="4" t="s">
        <v>316</v>
      </c>
      <c r="G16" s="130"/>
      <c r="H16" s="130"/>
      <c r="I16" s="130"/>
      <c r="J16" s="119"/>
      <c r="K16" s="119"/>
      <c r="L16" s="119"/>
      <c r="M16" s="119"/>
      <c r="N16" s="119"/>
      <c r="O16" s="119"/>
      <c r="P16" s="119"/>
      <c r="Q16" s="119"/>
      <c r="R16" s="119"/>
      <c r="S16" s="85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5.75">
      <c r="A17" s="974">
        <f t="shared" ref="A17:A80" si="0">A16+1</f>
        <v>3</v>
      </c>
      <c r="B17" s="4" t="s">
        <v>183</v>
      </c>
      <c r="G17" s="136">
        <f>('B.2 F'!I19+'B.2 F'!I119)/1000</f>
        <v>763.83557112612095</v>
      </c>
      <c r="H17" s="136">
        <f>('B.2 B'!I19+'B.2 B'!I119)/1000</f>
        <v>763.83557112612095</v>
      </c>
      <c r="I17" s="136">
        <f>'[34]K '!I17</f>
        <v>128</v>
      </c>
      <c r="J17" s="136">
        <f>'[34]K '!J17</f>
        <v>128</v>
      </c>
      <c r="K17" s="136">
        <f>'[34]K '!K17</f>
        <v>128</v>
      </c>
      <c r="L17" s="136">
        <f>'[34]K '!L17</f>
        <v>128</v>
      </c>
      <c r="M17" s="136">
        <f>'[34]K '!M17</f>
        <v>128</v>
      </c>
      <c r="N17" s="136">
        <f>'[34]K '!N17</f>
        <v>128</v>
      </c>
      <c r="O17" s="136">
        <f>'[34]K '!O17</f>
        <v>128</v>
      </c>
      <c r="P17" s="136">
        <f>'[34]K '!P17</f>
        <v>128</v>
      </c>
      <c r="Q17" s="136">
        <f>'[34]K '!Q17</f>
        <v>128</v>
      </c>
      <c r="R17" s="136">
        <f>'[34]K '!R17</f>
        <v>128</v>
      </c>
      <c r="S17" s="85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974">
        <f t="shared" si="0"/>
        <v>4</v>
      </c>
      <c r="B18" s="4" t="s">
        <v>26</v>
      </c>
      <c r="G18" s="136">
        <f>('B.2 F'!I26)/1000</f>
        <v>0</v>
      </c>
      <c r="H18" s="136">
        <f>('B.2 B'!I26)/1000</f>
        <v>0</v>
      </c>
      <c r="I18" s="136">
        <f>'[34]K '!I18</f>
        <v>636</v>
      </c>
      <c r="J18" s="136">
        <f>'[34]K '!J18</f>
        <v>901</v>
      </c>
      <c r="K18" s="136">
        <f>'[34]K '!K18</f>
        <v>901</v>
      </c>
      <c r="L18" s="136">
        <f>'[34]K '!L18</f>
        <v>901</v>
      </c>
      <c r="M18" s="136">
        <f>'[34]K '!M18</f>
        <v>901</v>
      </c>
      <c r="N18" s="136">
        <f>'[34]K '!N18</f>
        <v>901</v>
      </c>
      <c r="O18" s="136">
        <f>'[34]K '!O18</f>
        <v>901</v>
      </c>
      <c r="P18" s="136">
        <f>'[34]K '!P18</f>
        <v>901</v>
      </c>
      <c r="Q18" s="136">
        <f>'[34]K '!Q18</f>
        <v>907</v>
      </c>
      <c r="R18" s="136">
        <f>'[34]K '!R18</f>
        <v>907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974">
        <f t="shared" si="0"/>
        <v>5</v>
      </c>
      <c r="B19" s="4" t="s">
        <v>27</v>
      </c>
      <c r="G19" s="136">
        <f>('B.2 F'!I47)/1000</f>
        <v>16333.848007853807</v>
      </c>
      <c r="H19" s="136">
        <f>('B.2 B'!I47)/1000</f>
        <v>14383.135569356229</v>
      </c>
      <c r="I19" s="136">
        <f>'[34]K '!I19</f>
        <v>10792</v>
      </c>
      <c r="J19" s="136">
        <f>'[34]K '!J19</f>
        <v>9630</v>
      </c>
      <c r="K19" s="136">
        <f>'[34]K '!K19</f>
        <v>10104</v>
      </c>
      <c r="L19" s="136">
        <f>'[34]K '!L19</f>
        <v>9388</v>
      </c>
      <c r="M19" s="136">
        <f>'[34]K '!M19</f>
        <v>7731</v>
      </c>
      <c r="N19" s="136">
        <f>'[34]K '!N19</f>
        <v>7540</v>
      </c>
      <c r="O19" s="136">
        <f>'[34]K '!O19</f>
        <v>6950</v>
      </c>
      <c r="P19" s="136">
        <f>'[34]K '!P19</f>
        <v>6878</v>
      </c>
      <c r="Q19" s="136">
        <f>'[34]K '!Q19</f>
        <v>6878</v>
      </c>
      <c r="R19" s="136">
        <f>'[34]K '!R19</f>
        <v>6701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974">
        <f t="shared" si="0"/>
        <v>6</v>
      </c>
      <c r="B20" s="4" t="s">
        <v>28</v>
      </c>
      <c r="G20" s="136">
        <f>('B.2 F'!I59)/1000</f>
        <v>31836.989559999998</v>
      </c>
      <c r="H20" s="136">
        <f>('B.2 B'!I59)/1000</f>
        <v>31836.989559999998</v>
      </c>
      <c r="I20" s="136">
        <f>'[34]K '!I20</f>
        <v>31877</v>
      </c>
      <c r="J20" s="136">
        <f>'[34]K '!J20</f>
        <v>32962</v>
      </c>
      <c r="K20" s="136">
        <f>'[34]K '!K20</f>
        <v>32836</v>
      </c>
      <c r="L20" s="136">
        <f>'[34]K '!L20</f>
        <v>33144</v>
      </c>
      <c r="M20" s="136">
        <f>'[34]K '!M20</f>
        <v>31189</v>
      </c>
      <c r="N20" s="136">
        <f>'[34]K '!N20</f>
        <v>31202</v>
      </c>
      <c r="O20" s="136">
        <f>'[34]K '!O20</f>
        <v>28807</v>
      </c>
      <c r="P20" s="136">
        <f>'[34]K '!P20</f>
        <v>28746</v>
      </c>
      <c r="Q20" s="136">
        <f>'[34]K '!Q20</f>
        <v>25984</v>
      </c>
      <c r="R20" s="136">
        <f>'[34]K '!R20</f>
        <v>26119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974">
        <f t="shared" si="0"/>
        <v>7</v>
      </c>
      <c r="B21" s="4" t="s">
        <v>514</v>
      </c>
      <c r="G21" s="136">
        <f>('B.2 F'!I83+'B.2 F'!I144)/1000</f>
        <v>478027.47420379589</v>
      </c>
      <c r="H21" s="136">
        <f>('B.2 B'!I83+'B.2 B'!I144)/1000</f>
        <v>430390.66926705942</v>
      </c>
      <c r="I21" s="136">
        <f>'[34]K '!I21</f>
        <v>381623</v>
      </c>
      <c r="J21" s="136">
        <f>'[34]K '!J21</f>
        <v>340200</v>
      </c>
      <c r="K21" s="136">
        <f>'[34]K '!K21</f>
        <v>323036</v>
      </c>
      <c r="L21" s="136">
        <f>'[34]K '!L21</f>
        <v>296493</v>
      </c>
      <c r="M21" s="136">
        <f>'[34]K '!M21</f>
        <v>283474</v>
      </c>
      <c r="N21" s="136">
        <f>'[34]K '!N21</f>
        <v>271463</v>
      </c>
      <c r="O21" s="136">
        <f>'[34]K '!O21</f>
        <v>260621</v>
      </c>
      <c r="P21" s="136">
        <f>'[34]K '!P21</f>
        <v>251843</v>
      </c>
      <c r="Q21" s="136">
        <f>'[34]K '!Q21</f>
        <v>241862</v>
      </c>
      <c r="R21" s="136">
        <f>'[34]K '!R21</f>
        <v>230736</v>
      </c>
    </row>
    <row r="22" spans="1:36">
      <c r="A22" s="974">
        <f t="shared" si="0"/>
        <v>8</v>
      </c>
      <c r="B22" s="4" t="s">
        <v>975</v>
      </c>
      <c r="G22" s="136">
        <f>('B.2 F'!I107+'B.2 F'!I164+'B.2 F'!I198+'B.2 F'!I226)/1000</f>
        <v>43026.534845300841</v>
      </c>
      <c r="H22" s="136">
        <f>('B.2 B'!I107+'B.2 B'!I164+'B.2 B'!I198+'B.2 B'!I226)/1000</f>
        <v>39308.396778164788</v>
      </c>
      <c r="I22" s="136">
        <f>'[34]K '!I22</f>
        <v>16683</v>
      </c>
      <c r="J22" s="136">
        <f>'[34]K '!J22</f>
        <v>15589</v>
      </c>
      <c r="K22" s="136">
        <f>'[34]K '!K22</f>
        <v>15238</v>
      </c>
      <c r="L22" s="136">
        <f>'[34]K '!L22</f>
        <v>16000</v>
      </c>
      <c r="M22" s="136">
        <f>'[34]K '!M22</f>
        <v>15103</v>
      </c>
      <c r="N22" s="136">
        <f>'[34]K '!N22</f>
        <v>14696</v>
      </c>
      <c r="O22" s="136">
        <f>'[34]K '!O22</f>
        <v>15422</v>
      </c>
      <c r="P22" s="136">
        <f>'[34]K '!P22</f>
        <v>15165</v>
      </c>
      <c r="Q22" s="136">
        <f>'[34]K '!Q22</f>
        <v>14116</v>
      </c>
      <c r="R22" s="136">
        <f>'[34]K '!R22</f>
        <v>16263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974">
        <f t="shared" si="0"/>
        <v>9</v>
      </c>
      <c r="B23" s="4" t="s">
        <v>393</v>
      </c>
      <c r="G23" s="136"/>
      <c r="H23" s="136"/>
      <c r="I23" s="136">
        <f>'[34]K '!I23</f>
        <v>3279</v>
      </c>
      <c r="J23" s="136">
        <f>'[34]K '!J23</f>
        <v>3279</v>
      </c>
      <c r="K23" s="136">
        <f>'[34]K '!K23</f>
        <v>3279</v>
      </c>
      <c r="L23" s="136">
        <f>'[34]K '!L23</f>
        <v>3279</v>
      </c>
      <c r="M23" s="136">
        <f>'[34]K '!M23</f>
        <v>3337</v>
      </c>
      <c r="N23" s="136">
        <f>'[34]K '!N23</f>
        <v>3337</v>
      </c>
      <c r="O23" s="136">
        <f>'[34]K '!O23</f>
        <v>3337</v>
      </c>
      <c r="P23" s="136">
        <f>'[34]K '!P23</f>
        <v>3337</v>
      </c>
      <c r="Q23" s="136">
        <f>'[34]K '!Q23</f>
        <v>3337</v>
      </c>
      <c r="R23" s="136">
        <f>'[34]K '!R23</f>
        <v>3337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974">
        <f t="shared" si="0"/>
        <v>10</v>
      </c>
      <c r="B24" s="4" t="s">
        <v>332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974">
        <f t="shared" si="0"/>
        <v>11</v>
      </c>
      <c r="B25" s="4" t="s">
        <v>170</v>
      </c>
      <c r="G25" s="136">
        <f t="shared" ref="G25:R25" si="1">SUM(G17:G24)</f>
        <v>569988.68218807667</v>
      </c>
      <c r="H25" s="136">
        <f t="shared" si="1"/>
        <v>516683.02674570656</v>
      </c>
      <c r="I25" s="136">
        <f t="shared" si="1"/>
        <v>445018</v>
      </c>
      <c r="J25" s="136">
        <f t="shared" si="1"/>
        <v>402689</v>
      </c>
      <c r="K25" s="136">
        <f t="shared" si="1"/>
        <v>385522</v>
      </c>
      <c r="L25" s="136">
        <f t="shared" si="1"/>
        <v>359333</v>
      </c>
      <c r="M25" s="136">
        <f t="shared" si="1"/>
        <v>341863</v>
      </c>
      <c r="N25" s="136">
        <f t="shared" si="1"/>
        <v>329267</v>
      </c>
      <c r="O25" s="136">
        <f t="shared" si="1"/>
        <v>316166</v>
      </c>
      <c r="P25" s="136">
        <f t="shared" si="1"/>
        <v>306998</v>
      </c>
      <c r="Q25" s="136">
        <f t="shared" si="1"/>
        <v>293212</v>
      </c>
      <c r="R25" s="136">
        <f t="shared" si="1"/>
        <v>284191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974">
        <f t="shared" si="0"/>
        <v>12</v>
      </c>
      <c r="B26" s="4" t="s">
        <v>394</v>
      </c>
      <c r="G26" s="138">
        <f>-'B.1 F '!D17/1000</f>
        <v>185995.46826051513</v>
      </c>
      <c r="H26" s="576">
        <f>-'B.1 B'!D17/1000</f>
        <v>172025.70090940385</v>
      </c>
      <c r="I26" s="136">
        <f>'[34]K '!I26</f>
        <v>160839</v>
      </c>
      <c r="J26" s="136">
        <f>'[34]K '!J26</f>
        <v>158300</v>
      </c>
      <c r="K26" s="136">
        <f>'[34]K '!K26</f>
        <v>151849</v>
      </c>
      <c r="L26" s="136">
        <f>'[34]K '!L26</f>
        <v>150795</v>
      </c>
      <c r="M26" s="136">
        <f>'[34]K '!M26</f>
        <v>147462</v>
      </c>
      <c r="N26" s="136">
        <f>'[34]K '!N26</f>
        <v>144016</v>
      </c>
      <c r="O26" s="136">
        <f>'[34]K '!O26</f>
        <v>139212</v>
      </c>
      <c r="P26" s="136">
        <f>'[34]K '!P26</f>
        <v>134463</v>
      </c>
      <c r="Q26" s="136">
        <f>'[34]K '!Q26</f>
        <v>128208</v>
      </c>
      <c r="R26" s="136">
        <f>'[34]K '!R26</f>
        <v>124069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974">
        <f t="shared" si="0"/>
        <v>13</v>
      </c>
      <c r="B27" s="4" t="s">
        <v>395</v>
      </c>
      <c r="G27" s="136">
        <f t="shared" ref="G27:R27" si="2">G25-G26</f>
        <v>383993.21392756153</v>
      </c>
      <c r="H27" s="907">
        <f t="shared" si="2"/>
        <v>344657.32583630271</v>
      </c>
      <c r="I27" s="1200">
        <f t="shared" si="2"/>
        <v>284179</v>
      </c>
      <c r="J27" s="1200">
        <f t="shared" si="2"/>
        <v>244389</v>
      </c>
      <c r="K27" s="1200">
        <f t="shared" si="2"/>
        <v>233673</v>
      </c>
      <c r="L27" s="1200">
        <f t="shared" si="2"/>
        <v>208538</v>
      </c>
      <c r="M27" s="1200">
        <f t="shared" si="2"/>
        <v>194401</v>
      </c>
      <c r="N27" s="1200">
        <f t="shared" si="2"/>
        <v>185251</v>
      </c>
      <c r="O27" s="1200">
        <f t="shared" si="2"/>
        <v>176954</v>
      </c>
      <c r="P27" s="1200">
        <f t="shared" si="2"/>
        <v>172535</v>
      </c>
      <c r="Q27" s="1200">
        <f t="shared" si="2"/>
        <v>165004</v>
      </c>
      <c r="R27" s="1200">
        <f t="shared" si="2"/>
        <v>160122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974">
        <f t="shared" si="0"/>
        <v>14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36">
      <c r="A29" s="974">
        <f t="shared" si="0"/>
        <v>15</v>
      </c>
      <c r="B29" s="4" t="s">
        <v>800</v>
      </c>
      <c r="G29" s="136">
        <f>'B.1 F '!D16/1000</f>
        <v>14731.738637158927</v>
      </c>
      <c r="H29" s="136">
        <f>'B.1 B'!D16/1000</f>
        <v>14905.45146043239</v>
      </c>
      <c r="I29" s="136">
        <f>'[34]K '!I29</f>
        <v>12708</v>
      </c>
      <c r="J29" s="136">
        <f>'[34]K '!J29</f>
        <v>16578</v>
      </c>
      <c r="K29" s="136">
        <f>'[34]K '!K29</f>
        <v>6006</v>
      </c>
      <c r="L29" s="136">
        <f>'[34]K '!L29</f>
        <v>3306</v>
      </c>
      <c r="M29" s="136">
        <f>'[34]K '!M29</f>
        <v>7197</v>
      </c>
      <c r="N29" s="136">
        <f>'[34]K '!N29</f>
        <v>4851</v>
      </c>
      <c r="O29" s="136">
        <f>'[34]K '!O29</f>
        <v>5215</v>
      </c>
      <c r="P29" s="136">
        <f>'[34]K '!P29</f>
        <v>1897</v>
      </c>
      <c r="Q29" s="136">
        <f>'[34]K '!Q29</f>
        <v>3573</v>
      </c>
      <c r="R29" s="136">
        <f>'[34]K '!R29</f>
        <v>1983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974">
        <f t="shared" si="0"/>
        <v>16</v>
      </c>
      <c r="B30" s="4" t="s">
        <v>332</v>
      </c>
      <c r="G30" s="138"/>
      <c r="H30" s="138"/>
      <c r="I30" s="138"/>
      <c r="J30" s="138"/>
      <c r="K30" s="1229"/>
      <c r="L30" s="138"/>
      <c r="M30" s="138"/>
      <c r="N30" s="138"/>
      <c r="O30" s="138"/>
      <c r="P30" s="138"/>
      <c r="Q30" s="138"/>
      <c r="R30" s="138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974">
        <f t="shared" si="0"/>
        <v>17</v>
      </c>
      <c r="B31" s="4" t="s">
        <v>1199</v>
      </c>
      <c r="G31" s="136">
        <f t="shared" ref="G31:R31" si="3">SUM(G29:G30)</f>
        <v>14731.738637158927</v>
      </c>
      <c r="H31" s="136">
        <f t="shared" si="3"/>
        <v>14905.45146043239</v>
      </c>
      <c r="I31" s="136">
        <f t="shared" si="3"/>
        <v>12708</v>
      </c>
      <c r="J31" s="136">
        <f t="shared" si="3"/>
        <v>16578</v>
      </c>
      <c r="K31" s="136">
        <f t="shared" si="3"/>
        <v>6006</v>
      </c>
      <c r="L31" s="136">
        <f t="shared" si="3"/>
        <v>3306</v>
      </c>
      <c r="M31" s="136">
        <f t="shared" si="3"/>
        <v>7197</v>
      </c>
      <c r="N31" s="136">
        <f t="shared" si="3"/>
        <v>4851</v>
      </c>
      <c r="O31" s="136">
        <f t="shared" si="3"/>
        <v>5215</v>
      </c>
      <c r="P31" s="136">
        <f t="shared" si="3"/>
        <v>1897</v>
      </c>
      <c r="Q31" s="136">
        <f t="shared" si="3"/>
        <v>3573</v>
      </c>
      <c r="R31" s="136">
        <f t="shared" si="3"/>
        <v>1983</v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974">
        <f t="shared" si="0"/>
        <v>18</v>
      </c>
      <c r="G32" s="136"/>
      <c r="H32" s="136"/>
      <c r="I32" s="136"/>
      <c r="J32" s="136"/>
      <c r="K32" s="136"/>
      <c r="L32" s="136"/>
      <c r="M32" s="136"/>
      <c r="N32" s="136"/>
      <c r="O32" s="130"/>
      <c r="P32" s="136"/>
      <c r="Q32" s="136"/>
      <c r="R32" s="136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974">
        <f t="shared" si="0"/>
        <v>19</v>
      </c>
      <c r="B33" s="4" t="s">
        <v>101</v>
      </c>
      <c r="G33" s="156">
        <f t="shared" ref="G33:R33" si="4">G27+G31</f>
        <v>398724.95256472047</v>
      </c>
      <c r="H33" s="156">
        <f t="shared" si="4"/>
        <v>359562.77729673509</v>
      </c>
      <c r="I33" s="156">
        <f t="shared" si="4"/>
        <v>296887</v>
      </c>
      <c r="J33" s="156">
        <f t="shared" si="4"/>
        <v>260967</v>
      </c>
      <c r="K33" s="156">
        <f t="shared" si="4"/>
        <v>239679</v>
      </c>
      <c r="L33" s="156">
        <f t="shared" si="4"/>
        <v>211844</v>
      </c>
      <c r="M33" s="156">
        <f t="shared" si="4"/>
        <v>201598</v>
      </c>
      <c r="N33" s="156">
        <f t="shared" si="4"/>
        <v>190102</v>
      </c>
      <c r="O33" s="156">
        <f t="shared" si="4"/>
        <v>182169</v>
      </c>
      <c r="P33" s="156">
        <f t="shared" si="4"/>
        <v>174432</v>
      </c>
      <c r="Q33" s="156">
        <f t="shared" si="4"/>
        <v>168577</v>
      </c>
      <c r="R33" s="156">
        <f t="shared" si="4"/>
        <v>162105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974">
        <f t="shared" si="0"/>
        <v>20</v>
      </c>
      <c r="G34" s="136"/>
      <c r="H34" s="130"/>
      <c r="I34" s="136"/>
      <c r="J34" s="136"/>
      <c r="K34" s="136"/>
      <c r="L34" s="130"/>
      <c r="M34" s="136"/>
      <c r="N34" s="136"/>
      <c r="O34" s="136"/>
      <c r="P34" s="136"/>
      <c r="Q34" s="136"/>
      <c r="R34" s="136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974">
        <f t="shared" si="0"/>
        <v>21</v>
      </c>
      <c r="B35" s="4" t="s">
        <v>396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974">
        <f t="shared" si="0"/>
        <v>22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974">
        <f t="shared" si="0"/>
        <v>23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36">
      <c r="A38" s="974">
        <f t="shared" si="0"/>
        <v>24</v>
      </c>
      <c r="B38" s="169" t="s">
        <v>1255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0"/>
      <c r="T38" s="10"/>
      <c r="U38" s="10"/>
      <c r="AA38" s="3"/>
    </row>
    <row r="39" spans="1:36">
      <c r="A39" s="974">
        <f t="shared" si="0"/>
        <v>25</v>
      </c>
      <c r="B39" s="17" t="s">
        <v>1088</v>
      </c>
      <c r="C39" s="16"/>
      <c r="D39" s="16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0"/>
      <c r="T39" s="10"/>
      <c r="U39" s="10"/>
      <c r="X39" s="3"/>
      <c r="AA39" s="3"/>
      <c r="AC39" s="3"/>
      <c r="AD39" s="3"/>
      <c r="AE39" s="3"/>
      <c r="AF39" s="3"/>
      <c r="AG39" s="3"/>
      <c r="AH39" s="3"/>
    </row>
    <row r="40" spans="1:36" ht="15.75">
      <c r="A40" s="974">
        <f t="shared" si="0"/>
        <v>26</v>
      </c>
      <c r="B40" s="4" t="s">
        <v>1089</v>
      </c>
      <c r="G40" s="185">
        <f>'J-1 F'!G20</f>
        <v>415875.57768141665</v>
      </c>
      <c r="H40" s="185">
        <f>'J-1 Base'!G19</f>
        <v>415875.57768141665</v>
      </c>
      <c r="I40" s="185">
        <f>'[34]K '!I43</f>
        <v>196695</v>
      </c>
      <c r="J40" s="185">
        <f>'[34]K '!J43</f>
        <v>367984</v>
      </c>
      <c r="K40" s="185">
        <f>'[34]K '!K43</f>
        <v>570929</v>
      </c>
      <c r="L40" s="185">
        <f>'[34]K '!L43</f>
        <v>206396</v>
      </c>
      <c r="M40" s="185">
        <f>'[34]K '!M43</f>
        <v>126100</v>
      </c>
      <c r="N40" s="185">
        <f>'[34]K '!N43</f>
        <v>72550</v>
      </c>
      <c r="O40" s="185">
        <f>'[34]K '!O43</f>
        <v>350542</v>
      </c>
      <c r="P40" s="185">
        <f>'[34]K '!P43</f>
        <v>150599</v>
      </c>
      <c r="Q40" s="185">
        <f>'[34]K '!Q43</f>
        <v>382416</v>
      </c>
      <c r="R40" s="185">
        <f>'[34]K '!R43</f>
        <v>144809</v>
      </c>
      <c r="S40" s="854"/>
      <c r="X40" s="3"/>
      <c r="Z40" s="3"/>
      <c r="AA40" s="3"/>
      <c r="AC40" s="3"/>
      <c r="AD40" s="3"/>
      <c r="AE40" s="3"/>
      <c r="AF40" s="3"/>
      <c r="AG40" s="3"/>
      <c r="AH40" s="3"/>
    </row>
    <row r="41" spans="1:36" ht="15.75">
      <c r="A41" s="974">
        <f t="shared" si="0"/>
        <v>27</v>
      </c>
      <c r="B41" s="4" t="s">
        <v>1090</v>
      </c>
      <c r="G41" s="185">
        <f>'J-1 F'!G22</f>
        <v>2455780.4156833333</v>
      </c>
      <c r="H41" s="185">
        <f>'J-1 Base'!G21</f>
        <v>2455352.5582333333</v>
      </c>
      <c r="I41" s="185">
        <f>'[34]K '!I44</f>
        <v>2455986</v>
      </c>
      <c r="J41" s="185">
        <f>'[34]K '!J44</f>
        <v>2455671</v>
      </c>
      <c r="K41" s="185">
        <f>'[34]K '!K44</f>
        <v>1956305</v>
      </c>
      <c r="L41" s="185">
        <f>'[34]K '!L44</f>
        <v>2206117</v>
      </c>
      <c r="M41" s="185">
        <f>'[34]K '!M44</f>
        <v>1809551</v>
      </c>
      <c r="N41" s="185">
        <f>'[34]K '!N44</f>
        <v>2169400</v>
      </c>
      <c r="O41" s="185">
        <f>'[34]K '!O44</f>
        <v>2119792</v>
      </c>
      <c r="P41" s="185">
        <f>'[34]K '!P44</f>
        <v>2126315</v>
      </c>
      <c r="Q41" s="185">
        <f>'[34]K '!Q44</f>
        <v>2180362</v>
      </c>
      <c r="R41" s="185">
        <f>'[34]K '!R44</f>
        <v>2183104</v>
      </c>
      <c r="S41" s="854"/>
      <c r="AA41" s="3"/>
    </row>
    <row r="42" spans="1:36">
      <c r="A42" s="974">
        <f t="shared" si="0"/>
        <v>28</v>
      </c>
      <c r="B42" s="4" t="s">
        <v>261</v>
      </c>
      <c r="G42" s="908"/>
      <c r="H42" s="908"/>
      <c r="I42" s="185">
        <f>'[34]K '!I45</f>
        <v>0</v>
      </c>
      <c r="J42" s="185">
        <f>'[34]K '!J45</f>
        <v>0</v>
      </c>
      <c r="K42" s="185">
        <f>'[34]K '!K45</f>
        <v>0</v>
      </c>
      <c r="L42" s="185">
        <f>'[34]K '!L45</f>
        <v>0</v>
      </c>
      <c r="M42" s="185">
        <f>'[34]K '!M45</f>
        <v>0</v>
      </c>
      <c r="N42" s="185">
        <f>'[34]K '!N45</f>
        <v>0</v>
      </c>
      <c r="O42" s="185">
        <f>'[34]K '!O45</f>
        <v>0</v>
      </c>
      <c r="P42" s="185">
        <f>'[34]K '!P45</f>
        <v>0</v>
      </c>
      <c r="Q42" s="185">
        <f>'[34]K '!Q45</f>
        <v>0</v>
      </c>
      <c r="R42" s="185">
        <f>'[34]K '!R45</f>
        <v>0</v>
      </c>
      <c r="X42" s="3"/>
      <c r="AA42" s="3"/>
      <c r="AC42" s="3"/>
      <c r="AD42" s="3"/>
      <c r="AE42" s="3"/>
      <c r="AF42" s="3"/>
      <c r="AG42" s="3"/>
      <c r="AH42" s="3"/>
    </row>
    <row r="43" spans="1:36" ht="15.75">
      <c r="A43" s="974">
        <f t="shared" si="0"/>
        <v>29</v>
      </c>
      <c r="B43" s="4" t="s">
        <v>262</v>
      </c>
      <c r="G43" s="858">
        <f>'J-1 F'!G26</f>
        <v>3554716.6367216702</v>
      </c>
      <c r="H43" s="858">
        <f>'J-1 Base'!G25</f>
        <v>3236641.9515410024</v>
      </c>
      <c r="I43" s="185">
        <f>'[34]K '!I46</f>
        <v>3086232</v>
      </c>
      <c r="J43" s="185">
        <f>'[34]K '!J46</f>
        <v>2580409</v>
      </c>
      <c r="K43" s="185">
        <f>'[34]K '!K46</f>
        <v>2359243</v>
      </c>
      <c r="L43" s="185">
        <f>'[34]K '!L46</f>
        <v>2255421</v>
      </c>
      <c r="M43" s="185">
        <f>'[34]K '!M46</f>
        <v>2178348</v>
      </c>
      <c r="N43" s="185">
        <f>'[34]K '!N46</f>
        <v>2176761</v>
      </c>
      <c r="O43" s="185">
        <f>'[34]K '!O46</f>
        <v>2052492</v>
      </c>
      <c r="P43" s="185">
        <f>'[34]K '!P46</f>
        <v>1965754</v>
      </c>
      <c r="Q43" s="185">
        <f>'[34]K '!Q46</f>
        <v>1648098</v>
      </c>
      <c r="R43" s="185">
        <f>'[34]K '!R46</f>
        <v>1602422</v>
      </c>
      <c r="S43" s="854"/>
      <c r="AA43" s="3"/>
    </row>
    <row r="44" spans="1:36">
      <c r="A44" s="974">
        <f t="shared" si="0"/>
        <v>30</v>
      </c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X44" s="3"/>
      <c r="Z44" s="3"/>
      <c r="AA44" s="3"/>
      <c r="AC44" s="3"/>
      <c r="AD44" s="3"/>
      <c r="AE44" s="3"/>
      <c r="AF44" s="3"/>
      <c r="AG44" s="3"/>
      <c r="AH44" s="3"/>
    </row>
    <row r="45" spans="1:36">
      <c r="A45" s="974">
        <f t="shared" si="0"/>
        <v>31</v>
      </c>
      <c r="B45" s="4" t="s">
        <v>101</v>
      </c>
      <c r="G45" s="156">
        <f>'J-1 F'!G28</f>
        <v>6426372.6300864201</v>
      </c>
      <c r="H45" s="156">
        <f>'J-1 Base'!G27</f>
        <v>6107870.0874557523</v>
      </c>
      <c r="I45" s="156">
        <f t="shared" ref="I45:R45" si="5">SUM(I40:I43)</f>
        <v>5738913</v>
      </c>
      <c r="J45" s="156">
        <f t="shared" si="5"/>
        <v>5404064</v>
      </c>
      <c r="K45" s="156">
        <f t="shared" si="5"/>
        <v>4886477</v>
      </c>
      <c r="L45" s="156">
        <f t="shared" si="5"/>
        <v>4667934</v>
      </c>
      <c r="M45" s="156">
        <f t="shared" si="5"/>
        <v>4113999</v>
      </c>
      <c r="N45" s="156">
        <f t="shared" si="5"/>
        <v>4418711</v>
      </c>
      <c r="O45" s="156">
        <f>SUM(O40:O43)</f>
        <v>4522826</v>
      </c>
      <c r="P45" s="156">
        <f t="shared" si="5"/>
        <v>4242668</v>
      </c>
      <c r="Q45" s="156">
        <f t="shared" si="5"/>
        <v>4210876</v>
      </c>
      <c r="R45" s="156">
        <f t="shared" si="5"/>
        <v>3930335</v>
      </c>
      <c r="AA45" s="3"/>
    </row>
    <row r="46" spans="1:36">
      <c r="A46" s="974">
        <f t="shared" si="0"/>
        <v>32</v>
      </c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X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6">
      <c r="A47" s="974">
        <f t="shared" si="0"/>
        <v>33</v>
      </c>
      <c r="B47" s="17" t="s">
        <v>263</v>
      </c>
      <c r="C47" s="16"/>
      <c r="D47" s="16"/>
      <c r="E47" s="16"/>
      <c r="F47" s="1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AA47" s="3"/>
    </row>
    <row r="48" spans="1:36" ht="15.75">
      <c r="A48" s="974">
        <f t="shared" si="0"/>
        <v>34</v>
      </c>
      <c r="B48" s="4" t="s">
        <v>1208</v>
      </c>
      <c r="G48" s="185">
        <f>+I.1!L19</f>
        <v>166804.6554724203</v>
      </c>
      <c r="H48" s="185">
        <f>+I.1!J19</f>
        <v>159871.89965203637</v>
      </c>
      <c r="I48" s="185">
        <f>'[34]K '!I51</f>
        <v>196882</v>
      </c>
      <c r="J48" s="185">
        <f>'[34]K '!J51</f>
        <v>162968</v>
      </c>
      <c r="K48" s="185">
        <f>'[34]K '!K51</f>
        <v>134778</v>
      </c>
      <c r="L48" s="185">
        <f>'[34]K '!L51</f>
        <v>149662</v>
      </c>
      <c r="M48" s="185">
        <f>'[34]K '!M51</f>
        <v>156816</v>
      </c>
      <c r="N48" s="185">
        <f>'[34]K '!N51</f>
        <v>190356</v>
      </c>
      <c r="O48" s="185">
        <f>'[34]K '!O51</f>
        <v>244308.47516</v>
      </c>
      <c r="P48" s="185">
        <f>'[34]K '!P51</f>
        <v>203286.68382000001</v>
      </c>
      <c r="Q48" s="185">
        <f>'[34]K '!Q51</f>
        <v>208077.45324999999</v>
      </c>
      <c r="R48" s="185">
        <f>'[34]K '!R51</f>
        <v>244452</v>
      </c>
      <c r="S48" s="854"/>
      <c r="AA48" s="3"/>
    </row>
    <row r="49" spans="1:34" ht="15.75">
      <c r="A49" s="974">
        <f t="shared" si="0"/>
        <v>35</v>
      </c>
      <c r="B49" s="4" t="s">
        <v>293</v>
      </c>
      <c r="G49" s="136"/>
      <c r="H49" s="136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854"/>
      <c r="X49" s="3"/>
      <c r="Z49" s="3"/>
      <c r="AA49" s="3"/>
      <c r="AC49" s="3"/>
      <c r="AD49" s="3"/>
      <c r="AE49" s="3"/>
      <c r="AF49" s="3"/>
      <c r="AG49" s="3"/>
      <c r="AH49" s="3"/>
    </row>
    <row r="50" spans="1:34">
      <c r="A50" s="974">
        <f t="shared" si="0"/>
        <v>36</v>
      </c>
      <c r="B50" s="4" t="s">
        <v>636</v>
      </c>
      <c r="G50" s="185">
        <f>+I.1!L29+I.1!L21</f>
        <v>130397.45155286217</v>
      </c>
      <c r="H50" s="185">
        <f>+I.1!J29+I.1!J21</f>
        <v>128370.64270029796</v>
      </c>
      <c r="I50" s="185">
        <f>'[34]K '!I53</f>
        <v>166452</v>
      </c>
      <c r="J50" s="185">
        <f>'[34]K '!J53</f>
        <v>139358</v>
      </c>
      <c r="K50" s="185">
        <f>'[34]K '!K53</f>
        <v>112027</v>
      </c>
      <c r="L50" s="185">
        <f>'[34]K '!L53</f>
        <v>126219</v>
      </c>
      <c r="M50" s="185">
        <f>'[34]K '!M53</f>
        <v>136649</v>
      </c>
      <c r="N50" s="185">
        <f>'[34]K '!N53</f>
        <v>176587</v>
      </c>
      <c r="O50" s="185">
        <f>'[34]K '!O53</f>
        <v>224347.66394</v>
      </c>
      <c r="P50" s="185">
        <f>'[34]K '!P53</f>
        <v>187733.05102000001</v>
      </c>
      <c r="Q50" s="185">
        <f>'[34]K '!Q53</f>
        <v>194747.19339000003</v>
      </c>
      <c r="R50" s="185">
        <f>'[34]K '!R53</f>
        <v>225449</v>
      </c>
      <c r="Z50" s="3"/>
      <c r="AA50" s="3"/>
    </row>
    <row r="51" spans="1:34">
      <c r="A51" s="974">
        <f t="shared" si="0"/>
        <v>37</v>
      </c>
      <c r="B51" s="4" t="s">
        <v>264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X51" s="3"/>
      <c r="Z51" s="3"/>
      <c r="AA51" s="3"/>
      <c r="AC51" s="3"/>
      <c r="AD51" s="3"/>
      <c r="AE51" s="3"/>
      <c r="AF51" s="3"/>
      <c r="AG51" s="3"/>
      <c r="AH51" s="3"/>
    </row>
    <row r="52" spans="1:34">
      <c r="A52" s="974">
        <f t="shared" si="0"/>
        <v>38</v>
      </c>
      <c r="B52" s="4" t="s">
        <v>265</v>
      </c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Z52" s="3"/>
      <c r="AA52" s="3"/>
    </row>
    <row r="53" spans="1:34">
      <c r="A53" s="974">
        <f t="shared" si="0"/>
        <v>39</v>
      </c>
      <c r="B53" s="4" t="s">
        <v>266</v>
      </c>
      <c r="G53" s="136">
        <f>+I.1!L42</f>
        <v>12180.938008494475</v>
      </c>
      <c r="H53" s="136">
        <f>+I.1!J42</f>
        <v>10474.653558446422</v>
      </c>
      <c r="I53" s="185">
        <f>'[34]K '!I56</f>
        <v>9671</v>
      </c>
      <c r="J53" s="185">
        <f>'[34]K '!J56</f>
        <v>7060</v>
      </c>
      <c r="K53" s="185">
        <f>'[34]K '!K56</f>
        <v>8157</v>
      </c>
      <c r="L53" s="185">
        <f>'[34]K '!L56</f>
        <v>8094</v>
      </c>
      <c r="M53" s="185">
        <f>'[34]K '!M56</f>
        <v>5654</v>
      </c>
      <c r="N53" s="185">
        <f>'[34]K '!N56</f>
        <v>2889</v>
      </c>
      <c r="O53" s="185">
        <f>'[34]K '!O56</f>
        <v>6985</v>
      </c>
      <c r="P53" s="185">
        <f>'[34]K '!P56</f>
        <v>4307</v>
      </c>
      <c r="Q53" s="185">
        <f>'[34]K '!Q56</f>
        <v>3197.9320000000002</v>
      </c>
      <c r="R53" s="185">
        <f>'[34]K '!R56</f>
        <v>5529</v>
      </c>
      <c r="X53" s="3"/>
      <c r="Z53" s="3"/>
      <c r="AA53" s="3"/>
      <c r="AC53" s="3"/>
      <c r="AD53" s="3"/>
      <c r="AE53" s="3"/>
      <c r="AF53" s="3"/>
      <c r="AG53" s="3"/>
      <c r="AH53" s="3"/>
    </row>
    <row r="54" spans="1:34">
      <c r="A54" s="974">
        <f t="shared" si="0"/>
        <v>40</v>
      </c>
      <c r="B54" s="4" t="s">
        <v>267</v>
      </c>
      <c r="G54" s="858">
        <v>0</v>
      </c>
      <c r="H54" s="858">
        <v>0</v>
      </c>
      <c r="I54" s="1230">
        <f>'[34]K '!I57</f>
        <v>0</v>
      </c>
      <c r="J54" s="1230">
        <f>'[34]K '!J57</f>
        <v>0</v>
      </c>
      <c r="K54" s="1230">
        <f>'[34]K '!K57</f>
        <v>0</v>
      </c>
      <c r="L54" s="1230">
        <f>'[34]K '!L57</f>
        <v>0</v>
      </c>
      <c r="M54" s="1230">
        <f>'[34]K '!M57</f>
        <v>0</v>
      </c>
      <c r="N54" s="1230">
        <f>'[34]K '!N57</f>
        <v>0</v>
      </c>
      <c r="O54" s="1230">
        <f>'[34]K '!O57</f>
        <v>0</v>
      </c>
      <c r="P54" s="1230">
        <f>'[34]K '!P57</f>
        <v>0</v>
      </c>
      <c r="Q54" s="1230">
        <f>'[34]K '!Q57</f>
        <v>0</v>
      </c>
      <c r="R54" s="1230">
        <f>'[34]K '!R57</f>
        <v>0</v>
      </c>
      <c r="Z54" s="3"/>
      <c r="AA54" s="3"/>
    </row>
    <row r="55" spans="1:34">
      <c r="A55" s="974">
        <f t="shared" si="0"/>
        <v>41</v>
      </c>
      <c r="B55" s="4" t="s">
        <v>811</v>
      </c>
      <c r="G55" s="136">
        <f t="shared" ref="G55:R55" si="6">G48-G50-G53-G54</f>
        <v>24226.265911063656</v>
      </c>
      <c r="H55" s="136">
        <f t="shared" si="6"/>
        <v>21026.603393291989</v>
      </c>
      <c r="I55" s="136">
        <f t="shared" si="6"/>
        <v>20759</v>
      </c>
      <c r="J55" s="136">
        <f t="shared" si="6"/>
        <v>16550</v>
      </c>
      <c r="K55" s="136">
        <f t="shared" si="6"/>
        <v>14594</v>
      </c>
      <c r="L55" s="136">
        <f t="shared" si="6"/>
        <v>15349</v>
      </c>
      <c r="M55" s="136">
        <f t="shared" si="6"/>
        <v>14513</v>
      </c>
      <c r="N55" s="136">
        <f t="shared" si="6"/>
        <v>10880</v>
      </c>
      <c r="O55" s="136">
        <f t="shared" si="6"/>
        <v>12975.811220000003</v>
      </c>
      <c r="P55" s="136">
        <f t="shared" si="6"/>
        <v>11246.632799999992</v>
      </c>
      <c r="Q55" s="136">
        <f t="shared" si="6"/>
        <v>10132.327859999961</v>
      </c>
      <c r="R55" s="136">
        <f t="shared" si="6"/>
        <v>13474</v>
      </c>
      <c r="Z55" s="3"/>
      <c r="AA55" s="3"/>
    </row>
    <row r="56" spans="1:34" ht="15.75">
      <c r="A56" s="974">
        <f t="shared" si="0"/>
        <v>42</v>
      </c>
      <c r="B56" s="4" t="s">
        <v>993</v>
      </c>
      <c r="G56" s="185">
        <v>0</v>
      </c>
      <c r="H56" s="185">
        <v>0</v>
      </c>
      <c r="I56" s="185">
        <f>'[34]K '!I59</f>
        <v>139</v>
      </c>
      <c r="J56" s="185">
        <f>'[34]K '!J59</f>
        <v>88</v>
      </c>
      <c r="K56" s="185">
        <f>'[34]K '!K59</f>
        <v>101</v>
      </c>
      <c r="L56" s="185">
        <f>'[34]K '!L59</f>
        <v>22</v>
      </c>
      <c r="M56" s="185">
        <f>'[34]K '!M59</f>
        <v>286</v>
      </c>
      <c r="N56" s="185">
        <f>'[34]K '!N59</f>
        <v>199</v>
      </c>
      <c r="O56" s="185">
        <f>'[34]K '!O59</f>
        <v>160</v>
      </c>
      <c r="P56" s="185">
        <f>'[34]K '!P59</f>
        <v>94</v>
      </c>
      <c r="Q56" s="185">
        <f>'[34]K '!Q59</f>
        <v>104</v>
      </c>
      <c r="R56" s="185">
        <f>'[34]K '!R59</f>
        <v>69</v>
      </c>
      <c r="S56" s="854"/>
      <c r="Z56" s="3"/>
      <c r="AA56" s="3"/>
      <c r="AC56" s="3"/>
      <c r="AD56" s="3"/>
      <c r="AE56" s="3"/>
      <c r="AF56" s="3"/>
      <c r="AG56" s="3"/>
      <c r="AH56" s="3"/>
    </row>
    <row r="57" spans="1:34">
      <c r="A57" s="974">
        <f t="shared" si="0"/>
        <v>43</v>
      </c>
      <c r="B57" s="4" t="s">
        <v>1091</v>
      </c>
      <c r="G57" s="858">
        <f>+I.1!L37</f>
        <v>2645.7341500000002</v>
      </c>
      <c r="H57" s="858">
        <f>+I.1!J37</f>
        <v>2635.7341500000002</v>
      </c>
      <c r="I57" s="1230">
        <f>'[34]K '!I60</f>
        <v>2019</v>
      </c>
      <c r="J57" s="1230">
        <f>'[34]K '!J60</f>
        <v>2033</v>
      </c>
      <c r="K57" s="1230">
        <f>'[34]K '!K60</f>
        <v>2046</v>
      </c>
      <c r="L57" s="1230">
        <f>'[34]K '!L60</f>
        <v>2657</v>
      </c>
      <c r="M57" s="1230">
        <f>'[34]K '!M60</f>
        <v>1748</v>
      </c>
      <c r="N57" s="1230">
        <f>'[34]K '!N60</f>
        <v>2278</v>
      </c>
      <c r="O57" s="1230">
        <f>'[34]K '!O60</f>
        <v>2529</v>
      </c>
      <c r="P57" s="1230">
        <f>'[34]K '!P60</f>
        <v>1547</v>
      </c>
      <c r="Q57" s="1230">
        <f>'[34]K '!Q60</f>
        <v>1732</v>
      </c>
      <c r="R57" s="1230">
        <f>'[34]K '!R60</f>
        <v>1206</v>
      </c>
    </row>
    <row r="58" spans="1:34">
      <c r="A58" s="974">
        <f t="shared" si="0"/>
        <v>44</v>
      </c>
      <c r="B58" s="4" t="s">
        <v>1092</v>
      </c>
      <c r="G58" s="136">
        <f t="shared" ref="G58:R58" si="7">G55+G56+G57</f>
        <v>26872.000061063656</v>
      </c>
      <c r="H58" s="136">
        <f t="shared" si="7"/>
        <v>23662.337543291989</v>
      </c>
      <c r="I58" s="136">
        <f t="shared" si="7"/>
        <v>22917</v>
      </c>
      <c r="J58" s="136">
        <f t="shared" si="7"/>
        <v>18671</v>
      </c>
      <c r="K58" s="136">
        <f t="shared" si="7"/>
        <v>16741</v>
      </c>
      <c r="L58" s="136">
        <f t="shared" si="7"/>
        <v>18028</v>
      </c>
      <c r="M58" s="136">
        <f t="shared" si="7"/>
        <v>16547</v>
      </c>
      <c r="N58" s="136">
        <f>N55+N56+N57</f>
        <v>13357</v>
      </c>
      <c r="O58" s="136">
        <f t="shared" si="7"/>
        <v>15664.811220000003</v>
      </c>
      <c r="P58" s="136">
        <f t="shared" si="7"/>
        <v>12887.632799999992</v>
      </c>
      <c r="Q58" s="136">
        <f t="shared" si="7"/>
        <v>11968.327859999961</v>
      </c>
      <c r="R58" s="136">
        <f t="shared" si="7"/>
        <v>14749</v>
      </c>
    </row>
    <row r="59" spans="1:34">
      <c r="A59" s="974">
        <f t="shared" si="0"/>
        <v>45</v>
      </c>
      <c r="B59" s="4" t="s">
        <v>1093</v>
      </c>
      <c r="G59" s="858">
        <f>+I.1!L40</f>
        <v>7739.4727520916158</v>
      </c>
      <c r="H59" s="858">
        <f>+I.1!J40</f>
        <v>7209.8611314391146</v>
      </c>
      <c r="I59" s="1231">
        <f>'[34]K '!I62</f>
        <v>6559</v>
      </c>
      <c r="J59" s="1231">
        <f>'[34]K '!J62</f>
        <v>6524</v>
      </c>
      <c r="K59" s="1231">
        <f>'[34]K '!K62</f>
        <v>5612</v>
      </c>
      <c r="L59" s="1231">
        <f>'[34]K '!L62</f>
        <v>5792</v>
      </c>
      <c r="M59" s="1231">
        <f>'[34]K '!M62</f>
        <v>6270</v>
      </c>
      <c r="N59" s="1231">
        <f>'[34]K '!N62</f>
        <v>6633</v>
      </c>
      <c r="O59" s="1231">
        <f>'[34]K '!O62</f>
        <v>6138</v>
      </c>
      <c r="P59" s="1231">
        <f>'[34]K '!P62</f>
        <v>6155</v>
      </c>
      <c r="Q59" s="1231">
        <f>'[34]K '!Q62</f>
        <v>6782</v>
      </c>
      <c r="R59" s="1231">
        <f>'[34]K '!R62</f>
        <v>6097</v>
      </c>
    </row>
    <row r="60" spans="1:34">
      <c r="A60" s="974">
        <f t="shared" si="0"/>
        <v>46</v>
      </c>
      <c r="B60" s="4" t="s">
        <v>1094</v>
      </c>
      <c r="G60" s="136">
        <f t="shared" ref="G60:R60" si="8">G58-G59</f>
        <v>19132.527308972039</v>
      </c>
      <c r="H60" s="136">
        <f t="shared" si="8"/>
        <v>16452.476411852876</v>
      </c>
      <c r="I60" s="136">
        <f t="shared" si="8"/>
        <v>16358</v>
      </c>
      <c r="J60" s="136">
        <f t="shared" si="8"/>
        <v>12147</v>
      </c>
      <c r="K60" s="136">
        <f t="shared" si="8"/>
        <v>11129</v>
      </c>
      <c r="L60" s="136">
        <f t="shared" si="8"/>
        <v>12236</v>
      </c>
      <c r="M60" s="136">
        <f t="shared" si="8"/>
        <v>10277</v>
      </c>
      <c r="N60" s="136">
        <f t="shared" si="8"/>
        <v>6724</v>
      </c>
      <c r="O60" s="136">
        <f t="shared" si="8"/>
        <v>9526.8112200000032</v>
      </c>
      <c r="P60" s="136">
        <f t="shared" si="8"/>
        <v>6732.6327999999921</v>
      </c>
      <c r="Q60" s="136">
        <f t="shared" si="8"/>
        <v>5186.3278599999612</v>
      </c>
      <c r="R60" s="136">
        <f t="shared" si="8"/>
        <v>8652</v>
      </c>
    </row>
    <row r="61" spans="1:34">
      <c r="A61" s="974">
        <f t="shared" si="0"/>
        <v>47</v>
      </c>
      <c r="B61" s="4" t="s">
        <v>1095</v>
      </c>
      <c r="G61" s="1232" t="s">
        <v>349</v>
      </c>
      <c r="H61" s="1232" t="s">
        <v>349</v>
      </c>
      <c r="I61" s="1232" t="s">
        <v>349</v>
      </c>
      <c r="J61" s="1232" t="s">
        <v>349</v>
      </c>
      <c r="K61" s="1232" t="s">
        <v>349</v>
      </c>
      <c r="L61" s="1232" t="s">
        <v>349</v>
      </c>
      <c r="M61" s="1232" t="s">
        <v>349</v>
      </c>
      <c r="N61" s="1232" t="s">
        <v>349</v>
      </c>
      <c r="O61" s="1232" t="s">
        <v>349</v>
      </c>
      <c r="P61" s="1232" t="s">
        <v>349</v>
      </c>
      <c r="Q61" s="1232" t="s">
        <v>349</v>
      </c>
      <c r="R61" s="1232" t="s">
        <v>349</v>
      </c>
    </row>
    <row r="62" spans="1:34" ht="15.75">
      <c r="A62" s="974">
        <f t="shared" si="0"/>
        <v>48</v>
      </c>
      <c r="B62" s="4" t="s">
        <v>392</v>
      </c>
      <c r="G62" s="156">
        <f t="shared" ref="G62:R62" si="9">G60</f>
        <v>19132.527308972039</v>
      </c>
      <c r="H62" s="156">
        <f t="shared" si="9"/>
        <v>16452.476411852876</v>
      </c>
      <c r="I62" s="156">
        <f t="shared" si="9"/>
        <v>16358</v>
      </c>
      <c r="J62" s="156">
        <f t="shared" si="9"/>
        <v>12147</v>
      </c>
      <c r="K62" s="156">
        <f t="shared" si="9"/>
        <v>11129</v>
      </c>
      <c r="L62" s="156">
        <f t="shared" si="9"/>
        <v>12236</v>
      </c>
      <c r="M62" s="156">
        <f t="shared" si="9"/>
        <v>10277</v>
      </c>
      <c r="N62" s="156">
        <f t="shared" si="9"/>
        <v>6724</v>
      </c>
      <c r="O62" s="156">
        <f t="shared" si="9"/>
        <v>9526.8112200000032</v>
      </c>
      <c r="P62" s="156">
        <f t="shared" si="9"/>
        <v>6732.6327999999921</v>
      </c>
      <c r="Q62" s="156">
        <f t="shared" si="9"/>
        <v>5186.3278599999612</v>
      </c>
      <c r="R62" s="156">
        <f t="shared" si="9"/>
        <v>8652</v>
      </c>
      <c r="S62" s="854"/>
    </row>
    <row r="63" spans="1:34">
      <c r="A63" s="974">
        <f t="shared" si="0"/>
        <v>49</v>
      </c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1:34">
      <c r="A64" s="974">
        <f t="shared" si="0"/>
        <v>50</v>
      </c>
      <c r="B64" s="4" t="s">
        <v>743</v>
      </c>
      <c r="G64" s="756">
        <f t="shared" ref="G64:R64" si="10">ROUND(G56/G62,4)</f>
        <v>0</v>
      </c>
      <c r="H64" s="756">
        <f t="shared" si="10"/>
        <v>0</v>
      </c>
      <c r="I64" s="756">
        <f t="shared" ref="I64" si="11">ROUND(I56/I62,4)</f>
        <v>8.5000000000000006E-3</v>
      </c>
      <c r="J64" s="756">
        <f t="shared" si="10"/>
        <v>7.1999999999999998E-3</v>
      </c>
      <c r="K64" s="756">
        <f t="shared" si="10"/>
        <v>9.1000000000000004E-3</v>
      </c>
      <c r="L64" s="756">
        <f t="shared" si="10"/>
        <v>1.8E-3</v>
      </c>
      <c r="M64" s="756">
        <f t="shared" si="10"/>
        <v>2.7799999999999998E-2</v>
      </c>
      <c r="N64" s="756">
        <f t="shared" si="10"/>
        <v>2.9600000000000001E-2</v>
      </c>
      <c r="O64" s="756">
        <f t="shared" si="10"/>
        <v>1.6799999999999999E-2</v>
      </c>
      <c r="P64" s="756">
        <f t="shared" si="10"/>
        <v>1.4E-2</v>
      </c>
      <c r="Q64" s="756">
        <f t="shared" si="10"/>
        <v>2.01E-2</v>
      </c>
      <c r="R64" s="756">
        <f t="shared" si="10"/>
        <v>8.0000000000000002E-3</v>
      </c>
    </row>
    <row r="65" spans="1:19">
      <c r="A65" s="974">
        <f t="shared" si="0"/>
        <v>51</v>
      </c>
      <c r="B65" s="4" t="s">
        <v>744</v>
      </c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9">
      <c r="A66" s="974">
        <f t="shared" si="0"/>
        <v>52</v>
      </c>
      <c r="B66" s="4" t="s">
        <v>745</v>
      </c>
      <c r="G66" s="756">
        <f t="shared" ref="G66:R66" si="12">ROUND(G56/G62,4)</f>
        <v>0</v>
      </c>
      <c r="H66" s="756">
        <f t="shared" si="12"/>
        <v>0</v>
      </c>
      <c r="I66" s="756">
        <f>ROUND(I56/I62,4)</f>
        <v>8.5000000000000006E-3</v>
      </c>
      <c r="J66" s="756">
        <f>ROUND(J56/J62,4)</f>
        <v>7.1999999999999998E-3</v>
      </c>
      <c r="K66" s="756">
        <f t="shared" si="12"/>
        <v>9.1000000000000004E-3</v>
      </c>
      <c r="L66" s="756">
        <f t="shared" si="12"/>
        <v>1.8E-3</v>
      </c>
      <c r="M66" s="756">
        <f t="shared" si="12"/>
        <v>2.7799999999999998E-2</v>
      </c>
      <c r="N66" s="756">
        <f t="shared" si="12"/>
        <v>2.9600000000000001E-2</v>
      </c>
      <c r="O66" s="756">
        <f t="shared" si="12"/>
        <v>1.6799999999999999E-2</v>
      </c>
      <c r="P66" s="756">
        <f t="shared" si="12"/>
        <v>1.4E-2</v>
      </c>
      <c r="Q66" s="756">
        <f t="shared" si="12"/>
        <v>2.01E-2</v>
      </c>
      <c r="R66" s="756">
        <f t="shared" si="12"/>
        <v>8.0000000000000002E-3</v>
      </c>
    </row>
    <row r="67" spans="1:19">
      <c r="A67" s="974">
        <f t="shared" si="0"/>
        <v>53</v>
      </c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1:19">
      <c r="A68" s="974">
        <f t="shared" si="0"/>
        <v>54</v>
      </c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1:19">
      <c r="A69" s="974">
        <f t="shared" si="0"/>
        <v>55</v>
      </c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1:19">
      <c r="A70" s="974">
        <f t="shared" si="0"/>
        <v>56</v>
      </c>
      <c r="B70" s="17" t="s">
        <v>746</v>
      </c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1:19">
      <c r="A71" s="974">
        <f t="shared" si="0"/>
        <v>57</v>
      </c>
      <c r="B71" s="4" t="s">
        <v>747</v>
      </c>
      <c r="C71" s="16"/>
      <c r="G71" s="756">
        <f>+'J-1 F'!K20</f>
        <v>9.4000000000000004E-3</v>
      </c>
      <c r="H71" s="756">
        <f>+'J-1 Base'!K19</f>
        <v>9.4300720778860338E-3</v>
      </c>
      <c r="I71" s="756">
        <f>'[34]K '!I74</f>
        <v>1.49E-2</v>
      </c>
      <c r="J71" s="756">
        <f>'[34]K '!J74</f>
        <v>1.17E-2</v>
      </c>
      <c r="K71" s="756">
        <f>'[34]K '!K74</f>
        <v>1.2200000000000001E-2</v>
      </c>
      <c r="L71" s="756">
        <f>'[34]K '!L74</f>
        <v>1.03E-2</v>
      </c>
      <c r="M71" s="756">
        <f>'[34]K '!M74</f>
        <v>3.2300000000000002E-2</v>
      </c>
      <c r="N71" s="756">
        <f>'[34]K '!N74</f>
        <v>6.8000000000000005E-2</v>
      </c>
      <c r="O71" s="756">
        <f>'[34]K '!O74</f>
        <v>4.3999999999999997E-2</v>
      </c>
      <c r="P71" s="756">
        <f>'[34]K '!P74</f>
        <v>5.6000000000000001E-2</v>
      </c>
      <c r="Q71" s="756">
        <f>'[34]K '!Q74</f>
        <v>0.05</v>
      </c>
      <c r="R71" s="756">
        <f>'[34]K '!R74</f>
        <v>3.3000000000000002E-2</v>
      </c>
    </row>
    <row r="72" spans="1:19">
      <c r="A72" s="974">
        <f t="shared" si="0"/>
        <v>58</v>
      </c>
      <c r="B72" s="4" t="s">
        <v>748</v>
      </c>
      <c r="F72" s="10"/>
      <c r="G72" s="756">
        <f>+'J-1 F'!K22</f>
        <v>5.8999999999999997E-2</v>
      </c>
      <c r="H72" s="756">
        <f>+'J-1 Base'!K21</f>
        <v>5.8999999999999997E-2</v>
      </c>
      <c r="I72" s="756">
        <f>'[34]K '!I75</f>
        <v>6.0299999999999999E-2</v>
      </c>
      <c r="J72" s="756">
        <f>'[34]K '!J75</f>
        <v>6.2600000000000003E-2</v>
      </c>
      <c r="K72" s="756">
        <f>'[34]K '!K75</f>
        <v>6.5100000000000005E-2</v>
      </c>
      <c r="L72" s="756">
        <f>'[34]K '!L75</f>
        <v>6.7500000000000004E-2</v>
      </c>
      <c r="M72" s="756">
        <f>'[34]K '!M75</f>
        <v>6.88E-2</v>
      </c>
      <c r="N72" s="756">
        <f>'[34]K '!N75</f>
        <v>6.9000000000000006E-2</v>
      </c>
      <c r="O72" s="756">
        <f>'[34]K '!O75</f>
        <v>6.0999999999999999E-2</v>
      </c>
      <c r="P72" s="756">
        <f>'[34]K '!P75</f>
        <v>6.0999999999999999E-2</v>
      </c>
      <c r="Q72" s="756">
        <f>'[34]K '!Q75</f>
        <v>6.0999999999999999E-2</v>
      </c>
      <c r="R72" s="756">
        <f>'[34]K '!R75</f>
        <v>5.6000000000000001E-2</v>
      </c>
    </row>
    <row r="73" spans="1:19">
      <c r="A73" s="974">
        <f t="shared" si="0"/>
        <v>59</v>
      </c>
      <c r="B73" s="4" t="s">
        <v>995</v>
      </c>
      <c r="F73" s="10"/>
      <c r="G73" s="908" t="s">
        <v>349</v>
      </c>
      <c r="H73" s="908" t="s">
        <v>349</v>
      </c>
      <c r="I73" s="908" t="s">
        <v>349</v>
      </c>
      <c r="J73" s="908" t="s">
        <v>349</v>
      </c>
      <c r="K73" s="908" t="s">
        <v>349</v>
      </c>
      <c r="L73" s="908" t="s">
        <v>349</v>
      </c>
      <c r="M73" s="908" t="s">
        <v>349</v>
      </c>
      <c r="N73" s="908" t="s">
        <v>349</v>
      </c>
      <c r="O73" s="908" t="s">
        <v>349</v>
      </c>
      <c r="P73" s="908" t="s">
        <v>349</v>
      </c>
      <c r="Q73" s="908" t="s">
        <v>349</v>
      </c>
      <c r="R73" s="908" t="s">
        <v>349</v>
      </c>
    </row>
    <row r="74" spans="1:19">
      <c r="A74" s="974">
        <f t="shared" si="0"/>
        <v>60</v>
      </c>
      <c r="F74" s="10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9">
      <c r="A75" s="974">
        <f t="shared" si="0"/>
        <v>61</v>
      </c>
      <c r="B75" s="17" t="s">
        <v>1003</v>
      </c>
      <c r="F75" s="10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9" ht="15.75">
      <c r="A76" s="974">
        <f t="shared" si="0"/>
        <v>62</v>
      </c>
      <c r="B76" s="4" t="s">
        <v>826</v>
      </c>
      <c r="C76" s="16"/>
      <c r="D76" s="16"/>
      <c r="F76" s="10"/>
      <c r="G76" s="909">
        <f>(+G53+G58)/G59</f>
        <v>5.0459429628463983</v>
      </c>
      <c r="H76" s="909">
        <f>(+H53+H58)/H59</f>
        <v>4.7347640238009063</v>
      </c>
      <c r="I76" s="909">
        <f>'[34]K '!I79</f>
        <v>4.6900000000000004</v>
      </c>
      <c r="J76" s="909">
        <f>'[34]K '!J79</f>
        <v>3.91</v>
      </c>
      <c r="K76" s="909">
        <f>'[34]K '!K79</f>
        <v>3.0571918341904318</v>
      </c>
      <c r="L76" s="909">
        <f>'[34]K '!L79</f>
        <v>2.9660460457804634</v>
      </c>
      <c r="M76" s="909">
        <f>'[34]K '!M79</f>
        <v>3.0043972293563703</v>
      </c>
      <c r="N76" s="909">
        <f>'[34]K '!N79</f>
        <v>2.8387360945505051</v>
      </c>
      <c r="O76" s="909">
        <f>'[34]K '!O79</f>
        <v>3.06</v>
      </c>
      <c r="P76" s="909">
        <f>'[34]K '!P79</f>
        <v>2.75</v>
      </c>
      <c r="Q76" s="909">
        <f>'[34]K '!Q79</f>
        <v>2.5499999999999998</v>
      </c>
      <c r="R76" s="909">
        <f>'[34]K '!R79</f>
        <v>2.59</v>
      </c>
      <c r="S76" s="854"/>
    </row>
    <row r="77" spans="1:19">
      <c r="A77" s="974">
        <f t="shared" si="0"/>
        <v>63</v>
      </c>
      <c r="B77" s="4" t="s">
        <v>827</v>
      </c>
      <c r="F77" s="10"/>
      <c r="G77" s="909">
        <f>(+G53+G58-G56)/G59</f>
        <v>5.0459429628463983</v>
      </c>
      <c r="H77" s="909">
        <f>(+H53+H58-H56)/H59</f>
        <v>4.7347640238009063</v>
      </c>
      <c r="I77" s="909">
        <f>'[34]K '!I80</f>
        <v>4.7</v>
      </c>
      <c r="J77" s="909">
        <f>'[34]K '!J80</f>
        <v>3.92</v>
      </c>
      <c r="K77" s="909">
        <f>'[34]K '!K80</f>
        <v>3.0409960261804581</v>
      </c>
      <c r="L77" s="909">
        <f>'[34]K '!L80</f>
        <v>2.9527909831987955</v>
      </c>
      <c r="M77" s="909">
        <f>'[34]K '!M80</f>
        <v>2.9852512711754482</v>
      </c>
      <c r="N77" s="909">
        <f>'[34]K '!N80</f>
        <v>2.8022744139729294</v>
      </c>
      <c r="O77" s="909">
        <f>'[34]K '!O80</f>
        <v>3.12</v>
      </c>
      <c r="P77" s="909">
        <f>'[34]K '!P80</f>
        <v>2.81</v>
      </c>
      <c r="Q77" s="909">
        <f>'[34]K '!Q80</f>
        <v>2.62</v>
      </c>
      <c r="R77" s="909">
        <f>'[34]K '!R80</f>
        <v>2.64</v>
      </c>
    </row>
    <row r="78" spans="1:19">
      <c r="A78" s="974">
        <f t="shared" si="0"/>
        <v>64</v>
      </c>
      <c r="B78" s="4" t="s">
        <v>1125</v>
      </c>
      <c r="F78" s="10"/>
      <c r="G78" s="909">
        <f>G58/G59</f>
        <v>3.4720711502991488</v>
      </c>
      <c r="H78" s="909">
        <f>H58/H59</f>
        <v>3.281940818542354</v>
      </c>
      <c r="I78" s="909">
        <f>'[34]K '!I81</f>
        <v>3.24</v>
      </c>
      <c r="J78" s="909">
        <f>'[34]K '!J81</f>
        <v>2.89</v>
      </c>
      <c r="K78" s="909">
        <f>'[34]K '!K81</f>
        <v>2.3614121580460989</v>
      </c>
      <c r="L78" s="909">
        <f>'[34]K '!L81</f>
        <v>2.2575233976506173</v>
      </c>
      <c r="M78" s="909">
        <f>'[34]K '!M81</f>
        <v>2.2312955612628738</v>
      </c>
      <c r="N78" s="909">
        <f>'[34]K '!N81</f>
        <v>2.200873963233271</v>
      </c>
      <c r="O78" s="909">
        <f>'[34]K '!O81</f>
        <v>2.2599999999999998</v>
      </c>
      <c r="P78" s="909">
        <f>'[34]K '!P81</f>
        <v>2.12</v>
      </c>
      <c r="Q78" s="909">
        <f>'[34]K '!Q81</f>
        <v>1.96</v>
      </c>
      <c r="R78" s="909">
        <f>'[34]K '!R81</f>
        <v>1.99</v>
      </c>
    </row>
    <row r="79" spans="1:19">
      <c r="A79" s="974">
        <f t="shared" si="0"/>
        <v>65</v>
      </c>
      <c r="B79" s="4" t="s">
        <v>1126</v>
      </c>
      <c r="F79" s="10"/>
      <c r="G79" s="909">
        <f>(+G53+G58+((1/3)*'C.2.1 F'!D114/1000))/(G59+((1/3)*'C.2.1 F'!D114/1000))</f>
        <v>4.9766353623776869</v>
      </c>
      <c r="H79" s="909">
        <f>(+H53+H58+((1/3)*'C.2.1 B'!D118/1000))/(H59+((1/3)*'C.2.1 B'!D118/1000))</f>
        <v>4.6594661418415901</v>
      </c>
      <c r="I79" s="909">
        <f>'[34]K '!I82</f>
        <v>4.32</v>
      </c>
      <c r="J79" s="909">
        <f>'[34]K '!J82</f>
        <v>3.6</v>
      </c>
      <c r="K79" s="909">
        <f>'[34]K '!K82</f>
        <v>2.84</v>
      </c>
      <c r="L79" s="909">
        <f>'[34]K '!L82</f>
        <v>2.78</v>
      </c>
      <c r="M79" s="909">
        <f>'[34]K '!M82</f>
        <v>2.78</v>
      </c>
      <c r="N79" s="909">
        <f>'[34]K '!N82</f>
        <v>2.5499999999999998</v>
      </c>
      <c r="O79" s="909">
        <f>'[34]K '!O82</f>
        <v>2.76</v>
      </c>
      <c r="P79" s="909">
        <f>'[34]K '!P82</f>
        <v>2.687794631619842</v>
      </c>
      <c r="Q79" s="909">
        <f>'[34]K '!Q82</f>
        <v>2.4970447584226276</v>
      </c>
      <c r="R79" s="909">
        <f>'[34]K '!R82</f>
        <v>2.54</v>
      </c>
    </row>
    <row r="80" spans="1:19">
      <c r="A80" s="974">
        <f t="shared" si="0"/>
        <v>66</v>
      </c>
      <c r="B80" s="4" t="s">
        <v>1127</v>
      </c>
      <c r="F80" s="10"/>
      <c r="G80" s="909">
        <f>(G58-G56)/G59</f>
        <v>3.4720711502991488</v>
      </c>
      <c r="H80" s="909">
        <f>(H58-H56)/H59</f>
        <v>3.281940818542354</v>
      </c>
      <c r="I80" s="909">
        <f>'[34]K '!I83</f>
        <v>3.25</v>
      </c>
      <c r="J80" s="909">
        <f>'[34]K '!J83</f>
        <v>2.81</v>
      </c>
      <c r="K80" s="909">
        <f>'[34]K '!K83</f>
        <v>2.3452163500361256</v>
      </c>
      <c r="L80" s="909">
        <f>'[34]K '!L83</f>
        <v>2.244268335068949</v>
      </c>
      <c r="M80" s="909">
        <f>'[34]K '!M83</f>
        <v>2.2121496030819521</v>
      </c>
      <c r="N80" s="909">
        <f>'[34]K '!N83</f>
        <v>2.1644122826556949</v>
      </c>
      <c r="O80" s="909">
        <f>'[34]K '!O83</f>
        <v>2.31</v>
      </c>
      <c r="P80" s="909">
        <f>'[34]K '!P83</f>
        <v>2.16</v>
      </c>
      <c r="Q80" s="909">
        <f>'[34]K '!Q83</f>
        <v>2.0099999999999998</v>
      </c>
      <c r="R80" s="909">
        <f>'[34]K '!R83</f>
        <v>2.02</v>
      </c>
    </row>
    <row r="81" spans="1:19">
      <c r="A81" s="974">
        <f t="shared" ref="A81:A132" si="13">A80+1</f>
        <v>67</v>
      </c>
      <c r="B81" s="4" t="s">
        <v>1128</v>
      </c>
      <c r="F81" s="10"/>
      <c r="G81" s="908" t="s">
        <v>349</v>
      </c>
      <c r="H81" s="908" t="s">
        <v>349</v>
      </c>
      <c r="I81" s="909" t="s">
        <v>349</v>
      </c>
      <c r="J81" s="909" t="s">
        <v>349</v>
      </c>
      <c r="K81" s="909" t="s">
        <v>349</v>
      </c>
      <c r="L81" s="909" t="s">
        <v>349</v>
      </c>
      <c r="M81" s="909" t="s">
        <v>349</v>
      </c>
      <c r="N81" s="909" t="s">
        <v>349</v>
      </c>
      <c r="O81" s="909" t="s">
        <v>349</v>
      </c>
      <c r="P81" s="909" t="s">
        <v>349</v>
      </c>
      <c r="Q81" s="909" t="s">
        <v>349</v>
      </c>
      <c r="R81" s="909" t="s">
        <v>349</v>
      </c>
    </row>
    <row r="82" spans="1:19">
      <c r="A82" s="974">
        <f t="shared" si="13"/>
        <v>68</v>
      </c>
      <c r="B82" s="4" t="s">
        <v>1129</v>
      </c>
      <c r="G82" s="909">
        <f>(+G53+G58)/(G59*(1-0.35))</f>
        <v>7.7629891736098431</v>
      </c>
      <c r="H82" s="909">
        <f>(+H53+H58)/(H59*(1-0.35))</f>
        <v>7.2842523443090865</v>
      </c>
      <c r="I82" s="909">
        <f>'[34]K '!I84</f>
        <v>3.02</v>
      </c>
      <c r="J82" s="909">
        <f>'[34]K '!J84</f>
        <v>2.6</v>
      </c>
      <c r="K82" s="909">
        <f>'[34]K '!K84</f>
        <v>2.2116799519301451</v>
      </c>
      <c r="L82" s="909">
        <f>'[34]K '!L84</f>
        <v>2.1340881930445068</v>
      </c>
      <c r="M82" s="909">
        <f>'[34]K '!M84</f>
        <v>2.0837815317021438</v>
      </c>
      <c r="N82" s="909">
        <f>'[34]K '!N84</f>
        <v>2.1800332256334456</v>
      </c>
      <c r="O82" s="909">
        <f>'[34]K '!O84</f>
        <v>2.15</v>
      </c>
      <c r="P82" s="909">
        <f>'[34]K '!P84</f>
        <v>2.04</v>
      </c>
      <c r="Q82" s="909">
        <f>'[34]K '!Q84</f>
        <v>1.89</v>
      </c>
      <c r="R82" s="909">
        <f>'[34]K '!R84</f>
        <v>1.92</v>
      </c>
    </row>
    <row r="83" spans="1:19">
      <c r="A83" s="974">
        <f t="shared" si="13"/>
        <v>69</v>
      </c>
      <c r="F83" s="11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1:19">
      <c r="A84" s="974">
        <f t="shared" si="13"/>
        <v>70</v>
      </c>
      <c r="B84" s="17" t="s">
        <v>1130</v>
      </c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9" ht="15.75">
      <c r="A85" s="974">
        <f t="shared" si="13"/>
        <v>71</v>
      </c>
      <c r="B85" s="4" t="s">
        <v>761</v>
      </c>
      <c r="C85" s="16"/>
      <c r="D85" s="16"/>
      <c r="G85" s="908" t="s">
        <v>349</v>
      </c>
      <c r="H85" s="908" t="str">
        <f>'[34]K '!H87</f>
        <v>A2</v>
      </c>
      <c r="I85" s="908" t="str">
        <f>'[34]K '!I87</f>
        <v>A2</v>
      </c>
      <c r="J85" s="908" t="str">
        <f>'[34]K '!J87</f>
        <v>Baa1</v>
      </c>
      <c r="K85" s="908" t="str">
        <f>'[34]K '!K87</f>
        <v>Baa1</v>
      </c>
      <c r="L85" s="908" t="str">
        <f>'[34]K '!L87</f>
        <v>Baa1</v>
      </c>
      <c r="M85" s="908" t="str">
        <f>'[34]K '!M87</f>
        <v>Baa2</v>
      </c>
      <c r="N85" s="908" t="str">
        <f>'[34]K '!N87</f>
        <v>Baa2</v>
      </c>
      <c r="O85" s="908" t="str">
        <f>'[34]K '!O87</f>
        <v>Baa3</v>
      </c>
      <c r="P85" s="908" t="str">
        <f>'[34]K '!P87</f>
        <v>Baa3</v>
      </c>
      <c r="Q85" s="908" t="str">
        <f>'[34]K '!Q87</f>
        <v>Baa3</v>
      </c>
      <c r="R85" s="908" t="str">
        <f>'[34]K '!R87</f>
        <v>Baa3</v>
      </c>
      <c r="S85" s="854"/>
    </row>
    <row r="86" spans="1:19" ht="15.75">
      <c r="A86" s="974">
        <f t="shared" si="13"/>
        <v>72</v>
      </c>
      <c r="B86" s="4" t="s">
        <v>762</v>
      </c>
      <c r="F86" s="10"/>
      <c r="G86" s="908" t="s">
        <v>349</v>
      </c>
      <c r="H86" s="908" t="str">
        <f>'[34]K '!H88</f>
        <v>A-</v>
      </c>
      <c r="I86" s="908" t="str">
        <f>'[34]K '!I88</f>
        <v>A-</v>
      </c>
      <c r="J86" s="908" t="str">
        <f>'[34]K '!J88</f>
        <v>A-</v>
      </c>
      <c r="K86" s="908" t="str">
        <f>'[34]K '!K88</f>
        <v>BBB+</v>
      </c>
      <c r="L86" s="908" t="str">
        <f>'[34]K '!L88</f>
        <v>BBB+</v>
      </c>
      <c r="M86" s="908" t="str">
        <f>'[34]K '!M88</f>
        <v>BBB+</v>
      </c>
      <c r="N86" s="908" t="str">
        <f>'[34]K '!N88</f>
        <v>BBB+</v>
      </c>
      <c r="O86" s="908" t="str">
        <f>'[34]K '!O88</f>
        <v>BBB</v>
      </c>
      <c r="P86" s="908" t="str">
        <f>'[34]K '!P88</f>
        <v>BBB</v>
      </c>
      <c r="Q86" s="908" t="str">
        <f>'[34]K '!Q88</f>
        <v>BBB</v>
      </c>
      <c r="R86" s="908" t="str">
        <f>'[34]K '!R88</f>
        <v>BBB</v>
      </c>
      <c r="S86" s="854"/>
    </row>
    <row r="87" spans="1:19">
      <c r="A87" s="974">
        <f t="shared" si="13"/>
        <v>73</v>
      </c>
      <c r="B87" s="4" t="s">
        <v>592</v>
      </c>
      <c r="G87" s="908" t="s">
        <v>349</v>
      </c>
      <c r="H87" s="908" t="s">
        <v>349</v>
      </c>
      <c r="I87" s="908"/>
      <c r="J87" s="908" t="s">
        <v>349</v>
      </c>
      <c r="K87" s="908" t="s">
        <v>349</v>
      </c>
      <c r="L87" s="908" t="s">
        <v>349</v>
      </c>
      <c r="M87" s="908" t="s">
        <v>349</v>
      </c>
      <c r="N87" s="908" t="s">
        <v>349</v>
      </c>
      <c r="O87" s="908" t="s">
        <v>349</v>
      </c>
      <c r="P87" s="908" t="s">
        <v>349</v>
      </c>
      <c r="Q87" s="908" t="s">
        <v>349</v>
      </c>
      <c r="R87" s="908" t="s">
        <v>349</v>
      </c>
    </row>
    <row r="88" spans="1:19">
      <c r="A88" s="974">
        <f t="shared" si="13"/>
        <v>74</v>
      </c>
      <c r="B88" s="4" t="s">
        <v>593</v>
      </c>
      <c r="G88" s="908" t="s">
        <v>349</v>
      </c>
      <c r="H88" s="908" t="s">
        <v>349</v>
      </c>
      <c r="I88" s="908"/>
      <c r="J88" s="908" t="s">
        <v>349</v>
      </c>
      <c r="K88" s="908" t="s">
        <v>349</v>
      </c>
      <c r="L88" s="908" t="s">
        <v>349</v>
      </c>
      <c r="M88" s="908" t="s">
        <v>349</v>
      </c>
      <c r="N88" s="908" t="s">
        <v>349</v>
      </c>
      <c r="O88" s="908" t="s">
        <v>349</v>
      </c>
      <c r="P88" s="908" t="s">
        <v>349</v>
      </c>
      <c r="Q88" s="908" t="s">
        <v>349</v>
      </c>
      <c r="R88" s="908" t="s">
        <v>349</v>
      </c>
    </row>
    <row r="89" spans="1:19">
      <c r="A89" s="974">
        <f t="shared" si="13"/>
        <v>75</v>
      </c>
      <c r="G89" s="908" t="s">
        <v>332</v>
      </c>
      <c r="H89" s="908"/>
      <c r="I89" s="136"/>
      <c r="J89" s="136"/>
      <c r="K89" s="136"/>
      <c r="L89" s="136"/>
      <c r="M89" s="136"/>
      <c r="N89" s="136"/>
      <c r="O89" s="136"/>
      <c r="P89" s="136"/>
      <c r="Q89" s="136"/>
      <c r="R89" s="136"/>
    </row>
    <row r="90" spans="1:19">
      <c r="A90" s="974">
        <f t="shared" si="13"/>
        <v>76</v>
      </c>
      <c r="B90" s="17" t="s">
        <v>594</v>
      </c>
      <c r="G90" s="908"/>
      <c r="H90" s="908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1:19" ht="15.75">
      <c r="A91" s="974">
        <f t="shared" si="13"/>
        <v>77</v>
      </c>
      <c r="B91" s="4" t="s">
        <v>595</v>
      </c>
      <c r="C91" s="16"/>
      <c r="D91" s="16"/>
      <c r="E91" s="16"/>
      <c r="G91" s="908" t="s">
        <v>349</v>
      </c>
      <c r="H91" s="908" t="s">
        <v>349</v>
      </c>
      <c r="I91" s="136">
        <f>'[34]K '!I93</f>
        <v>100388</v>
      </c>
      <c r="J91" s="136">
        <f>'[34]K '!J93</f>
        <v>90640</v>
      </c>
      <c r="K91" s="136">
        <f>'[34]K '!K93</f>
        <v>90240</v>
      </c>
      <c r="L91" s="136">
        <f>'[34]K '!L93</f>
        <v>90296</v>
      </c>
      <c r="M91" s="136">
        <f>'[34]K '!M93</f>
        <v>90164</v>
      </c>
      <c r="N91" s="136">
        <f>'[34]K '!N93</f>
        <v>92552</v>
      </c>
      <c r="O91" s="136">
        <f>'[34]K '!O93</f>
        <v>90814</v>
      </c>
      <c r="P91" s="136">
        <f>'[34]K '!P93</f>
        <v>89326</v>
      </c>
      <c r="Q91" s="136">
        <f>'[34]K '!Q93</f>
        <v>81739</v>
      </c>
      <c r="R91" s="136">
        <f>'[34]K '!R93</f>
        <v>80539</v>
      </c>
      <c r="S91" s="854"/>
    </row>
    <row r="92" spans="1:19">
      <c r="A92" s="974">
        <f t="shared" si="13"/>
        <v>78</v>
      </c>
      <c r="B92" s="4" t="s">
        <v>877</v>
      </c>
      <c r="G92" s="908" t="s">
        <v>349</v>
      </c>
      <c r="H92" s="908" t="s">
        <v>349</v>
      </c>
      <c r="I92" s="136"/>
      <c r="J92" s="136"/>
      <c r="K92" s="136"/>
      <c r="L92" s="136"/>
      <c r="M92" s="136"/>
      <c r="N92" s="136"/>
      <c r="O92" s="136"/>
      <c r="P92" s="136"/>
      <c r="Q92" s="136"/>
      <c r="R92" s="136"/>
    </row>
    <row r="93" spans="1:19" ht="15.75">
      <c r="A93" s="974">
        <f t="shared" si="13"/>
        <v>79</v>
      </c>
      <c r="B93" s="4" t="s">
        <v>647</v>
      </c>
      <c r="G93" s="908" t="s">
        <v>349</v>
      </c>
      <c r="H93" s="908" t="s">
        <v>349</v>
      </c>
      <c r="I93" s="136">
        <f>'[34]K '!I95</f>
        <v>97608</v>
      </c>
      <c r="J93" s="136">
        <f>'[34]K '!J95</f>
        <v>91711</v>
      </c>
      <c r="K93" s="136">
        <f>'[34]K '!K95</f>
        <v>91172</v>
      </c>
      <c r="L93" s="136">
        <f>'[34]K '!L95</f>
        <v>90652</v>
      </c>
      <c r="M93" s="136">
        <f>'[34]K '!M95</f>
        <v>92422</v>
      </c>
      <c r="N93" s="136">
        <f>'[34]K '!N95</f>
        <v>91620</v>
      </c>
      <c r="O93" s="136">
        <f>'[34]K '!O95</f>
        <v>89941</v>
      </c>
      <c r="P93" s="136">
        <f>'[34]K '!P95</f>
        <v>87486</v>
      </c>
      <c r="Q93" s="136">
        <f>'[34]K '!Q95</f>
        <v>81173</v>
      </c>
      <c r="R93" s="136">
        <f>'[34]K '!R95</f>
        <v>79012</v>
      </c>
      <c r="S93" s="854"/>
    </row>
    <row r="94" spans="1:19">
      <c r="A94" s="974">
        <f t="shared" si="13"/>
        <v>80</v>
      </c>
      <c r="B94" s="4" t="s">
        <v>1049</v>
      </c>
      <c r="G94" s="908" t="s">
        <v>349</v>
      </c>
      <c r="H94" s="908" t="s">
        <v>349</v>
      </c>
      <c r="I94" s="909">
        <f>'[34]K '!I96</f>
        <v>2.96</v>
      </c>
      <c r="J94" s="909">
        <f>'[34]K '!J96</f>
        <v>2.64</v>
      </c>
      <c r="K94" s="909">
        <f>'[34]K '!K96</f>
        <v>2.37</v>
      </c>
      <c r="L94" s="909">
        <f>'[34]K '!L96</f>
        <v>2.27</v>
      </c>
      <c r="M94" s="909">
        <f>'[34]K '!M96</f>
        <v>2.2000000000000002</v>
      </c>
      <c r="N94" s="909">
        <f>'[34]K '!N96</f>
        <v>2.0699999999999998</v>
      </c>
      <c r="O94" s="909">
        <f>'[34]K '!O96</f>
        <v>1.99</v>
      </c>
      <c r="P94" s="909">
        <f>'[34]K '!P96</f>
        <v>1.91</v>
      </c>
      <c r="Q94" s="909">
        <f>'[34]K '!Q96</f>
        <v>1.81</v>
      </c>
      <c r="R94" s="909">
        <f>'[34]K '!R96</f>
        <v>1.72</v>
      </c>
    </row>
    <row r="95" spans="1:19">
      <c r="A95" s="974">
        <f t="shared" si="13"/>
        <v>81</v>
      </c>
      <c r="B95" s="4" t="s">
        <v>1050</v>
      </c>
      <c r="G95" s="908" t="s">
        <v>349</v>
      </c>
      <c r="H95" s="908" t="s">
        <v>349</v>
      </c>
      <c r="I95" s="909">
        <f>'[34]K '!I97</f>
        <v>1.48</v>
      </c>
      <c r="J95" s="909">
        <f>'[34]K '!J97</f>
        <v>1.4</v>
      </c>
      <c r="K95" s="909">
        <f>'[34]K '!K97</f>
        <v>1.38</v>
      </c>
      <c r="L95" s="909">
        <f>'[34]K '!L97</f>
        <v>1.36</v>
      </c>
      <c r="M95" s="909">
        <f>'[34]K '!M97</f>
        <v>1.34</v>
      </c>
      <c r="N95" s="909">
        <f>'[34]K '!N97</f>
        <v>1.32</v>
      </c>
      <c r="O95" s="909">
        <f>'[34]K '!O97</f>
        <v>1.3</v>
      </c>
      <c r="P95" s="909">
        <f>'[34]K '!P97</f>
        <v>1.28</v>
      </c>
      <c r="Q95" s="909">
        <f>'[34]K '!Q97</f>
        <v>1.26</v>
      </c>
      <c r="R95" s="909">
        <f>'[34]K '!R97</f>
        <v>1.24</v>
      </c>
    </row>
    <row r="96" spans="1:19" ht="15.75">
      <c r="A96" s="974">
        <f t="shared" si="13"/>
        <v>82</v>
      </c>
      <c r="B96" s="4" t="s">
        <v>860</v>
      </c>
      <c r="G96" s="908" t="s">
        <v>349</v>
      </c>
      <c r="H96" s="908" t="s">
        <v>349</v>
      </c>
      <c r="I96" s="909">
        <f>'[34]K '!I98</f>
        <v>1.48</v>
      </c>
      <c r="J96" s="909">
        <f>'[34]K '!J98</f>
        <v>1.4</v>
      </c>
      <c r="K96" s="909">
        <f>'[34]K '!K98</f>
        <v>1.38</v>
      </c>
      <c r="L96" s="909">
        <f>'[34]K '!L98</f>
        <v>1.36</v>
      </c>
      <c r="M96" s="909">
        <f>'[34]K '!M98</f>
        <v>1.34</v>
      </c>
      <c r="N96" s="909">
        <f>'[34]K '!N98</f>
        <v>1.32</v>
      </c>
      <c r="O96" s="909">
        <f>'[34]K '!O98</f>
        <v>1.3</v>
      </c>
      <c r="P96" s="909">
        <f>'[34]K '!P98</f>
        <v>1.28</v>
      </c>
      <c r="Q96" s="909">
        <f>'[34]K '!Q98</f>
        <v>1.26</v>
      </c>
      <c r="R96" s="909">
        <f>'[34]K '!R98</f>
        <v>1.24</v>
      </c>
      <c r="S96" s="854"/>
    </row>
    <row r="97" spans="1:19">
      <c r="A97" s="974">
        <f t="shared" si="13"/>
        <v>83</v>
      </c>
      <c r="B97" s="4" t="s">
        <v>546</v>
      </c>
      <c r="G97" s="908" t="s">
        <v>349</v>
      </c>
      <c r="H97" s="908" t="s">
        <v>349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</row>
    <row r="98" spans="1:19">
      <c r="A98" s="974">
        <f t="shared" si="13"/>
        <v>84</v>
      </c>
      <c r="B98" s="4" t="s">
        <v>34</v>
      </c>
      <c r="G98" s="908" t="s">
        <v>349</v>
      </c>
      <c r="H98" s="908" t="s">
        <v>349</v>
      </c>
      <c r="I98" s="910">
        <f>I96/I94</f>
        <v>0.5</v>
      </c>
      <c r="J98" s="910">
        <f>J96/J94</f>
        <v>0.53030303030303028</v>
      </c>
      <c r="K98" s="910">
        <f>K96/K94</f>
        <v>0.58227848101265811</v>
      </c>
      <c r="L98" s="910">
        <f>L96/L94</f>
        <v>0.59911894273127753</v>
      </c>
      <c r="M98" s="1233">
        <f t="shared" ref="M98:R98" si="14">M96/M94</f>
        <v>0.60909090909090913</v>
      </c>
      <c r="N98" s="1233">
        <f t="shared" si="14"/>
        <v>0.63768115942028991</v>
      </c>
      <c r="O98" s="1233">
        <f t="shared" si="14"/>
        <v>0.65326633165829151</v>
      </c>
      <c r="P98" s="1233">
        <f t="shared" si="14"/>
        <v>0.67015706806282727</v>
      </c>
      <c r="Q98" s="1233">
        <f t="shared" si="14"/>
        <v>0.69613259668508287</v>
      </c>
      <c r="R98" s="1233">
        <f t="shared" si="14"/>
        <v>0.72093023255813959</v>
      </c>
    </row>
    <row r="99" spans="1:19">
      <c r="A99" s="974">
        <f t="shared" si="13"/>
        <v>85</v>
      </c>
      <c r="B99" s="4" t="s">
        <v>547</v>
      </c>
      <c r="G99" s="908" t="s">
        <v>349</v>
      </c>
      <c r="H99" s="908" t="s">
        <v>349</v>
      </c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1:19" ht="15.75">
      <c r="A100" s="974">
        <f t="shared" si="13"/>
        <v>86</v>
      </c>
      <c r="B100" s="4" t="s">
        <v>548</v>
      </c>
      <c r="G100" s="908" t="s">
        <v>349</v>
      </c>
      <c r="H100" s="908" t="s">
        <v>349</v>
      </c>
      <c r="I100" s="1234">
        <f>'[34]K '!I102</f>
        <v>47.06</v>
      </c>
      <c r="J100" s="1234">
        <f>'[34]K '!J102</f>
        <v>36.86</v>
      </c>
      <c r="K100" s="1234">
        <f>'[34]K '!K102</f>
        <v>35.4</v>
      </c>
      <c r="L100" s="1234">
        <f>'[34]K '!L102</f>
        <v>31.72</v>
      </c>
      <c r="M100" s="1234">
        <f>'[34]K '!M102</f>
        <v>30.06</v>
      </c>
      <c r="N100" s="1234">
        <f>'[34]K '!N102</f>
        <v>27.88</v>
      </c>
      <c r="O100" s="1234">
        <f>'[34]K '!O102</f>
        <v>29.46</v>
      </c>
      <c r="P100" s="1234">
        <f>'[34]K '!P102</f>
        <v>33.01</v>
      </c>
      <c r="Q100" s="1234">
        <f>'[34]K '!Q102</f>
        <v>28.36</v>
      </c>
      <c r="R100" s="1234">
        <f>'[34]K '!R102</f>
        <v>27.43</v>
      </c>
      <c r="S100" s="854"/>
    </row>
    <row r="101" spans="1:19">
      <c r="A101" s="974">
        <f t="shared" si="13"/>
        <v>87</v>
      </c>
      <c r="B101" s="4" t="s">
        <v>549</v>
      </c>
      <c r="G101" s="908" t="s">
        <v>349</v>
      </c>
      <c r="H101" s="908" t="s">
        <v>349</v>
      </c>
      <c r="I101" s="1234">
        <f>'[34]K '!I103</f>
        <v>41.08</v>
      </c>
      <c r="J101" s="1234">
        <f>'[34]K '!J103</f>
        <v>33.200000000000003</v>
      </c>
      <c r="K101" s="1234">
        <f>'[34]K '!K103</f>
        <v>30.97</v>
      </c>
      <c r="L101" s="1234">
        <f>'[34]K '!L103</f>
        <v>29.1</v>
      </c>
      <c r="M101" s="1234">
        <f>'[34]K '!M103</f>
        <v>27.39</v>
      </c>
      <c r="N101" s="1234">
        <f>'[34]K '!N103</f>
        <v>21.17</v>
      </c>
      <c r="O101" s="1234">
        <f>'[34]K '!O103</f>
        <v>26.11</v>
      </c>
      <c r="P101" s="1234">
        <f>'[34]K '!P103</f>
        <v>28.45</v>
      </c>
      <c r="Q101" s="1234">
        <f>'[34]K '!Q103</f>
        <v>25.79</v>
      </c>
      <c r="R101" s="1234">
        <f>'[34]K '!R103</f>
        <v>24.85</v>
      </c>
    </row>
    <row r="102" spans="1:19">
      <c r="A102" s="974">
        <f t="shared" si="13"/>
        <v>88</v>
      </c>
      <c r="B102" s="4" t="s">
        <v>550</v>
      </c>
      <c r="G102" s="908" t="s">
        <v>349</v>
      </c>
      <c r="H102" s="908" t="s">
        <v>349</v>
      </c>
      <c r="I102" s="1234">
        <f>'[34]K '!I104</f>
        <v>48.01</v>
      </c>
      <c r="J102" s="1234">
        <f>'[34]K '!J104</f>
        <v>42.69</v>
      </c>
      <c r="K102" s="1234">
        <f>'[34]K '!K104</f>
        <v>33.15</v>
      </c>
      <c r="L102" s="1234">
        <f>'[34]K '!L104</f>
        <v>34.979999999999997</v>
      </c>
      <c r="M102" s="1234">
        <f>'[34]K '!M104</f>
        <v>29.52</v>
      </c>
      <c r="N102" s="1234">
        <f>'[34]K '!N104</f>
        <v>25.95</v>
      </c>
      <c r="O102" s="1234">
        <f>'[34]K '!O104</f>
        <v>28.96</v>
      </c>
      <c r="P102" s="1234">
        <f>'[34]K '!P104</f>
        <v>33</v>
      </c>
      <c r="Q102" s="1234">
        <f>'[34]K '!Q104</f>
        <v>27</v>
      </c>
      <c r="R102" s="1234">
        <f>'[34]K '!R104</f>
        <v>29.09</v>
      </c>
    </row>
    <row r="103" spans="1:19">
      <c r="A103" s="974">
        <f t="shared" si="13"/>
        <v>89</v>
      </c>
      <c r="B103" s="4" t="s">
        <v>551</v>
      </c>
      <c r="G103" s="908" t="s">
        <v>349</v>
      </c>
      <c r="H103" s="908" t="s">
        <v>349</v>
      </c>
      <c r="I103" s="1234">
        <f>'[34]K '!I105</f>
        <v>44.19</v>
      </c>
      <c r="J103" s="1234">
        <f>'[34]K '!J105</f>
        <v>35.11</v>
      </c>
      <c r="K103" s="1234">
        <f>'[34]K '!K105</f>
        <v>30.6</v>
      </c>
      <c r="L103" s="1234">
        <f>'[34]K '!L105</f>
        <v>31.51</v>
      </c>
      <c r="M103" s="1234">
        <f>'[34]K '!M105</f>
        <v>26.52</v>
      </c>
      <c r="N103" s="1234">
        <f>'[34]K '!N105</f>
        <v>20.2</v>
      </c>
      <c r="O103" s="1234">
        <f>'[34]K '!O105</f>
        <v>25.09</v>
      </c>
      <c r="P103" s="1234">
        <f>'[34]K '!P105</f>
        <v>30.63</v>
      </c>
      <c r="Q103" s="1234">
        <f>'[34]K '!Q105</f>
        <v>26.1</v>
      </c>
      <c r="R103" s="1234">
        <f>'[34]K '!R105</f>
        <v>26.19</v>
      </c>
    </row>
    <row r="104" spans="1:19">
      <c r="A104" s="974">
        <f t="shared" si="13"/>
        <v>90</v>
      </c>
      <c r="B104" s="4" t="s">
        <v>552</v>
      </c>
      <c r="G104" s="908" t="s">
        <v>349</v>
      </c>
      <c r="H104" s="908" t="s">
        <v>349</v>
      </c>
      <c r="I104" s="1234">
        <f>'[34]K '!I106</f>
        <v>53.4</v>
      </c>
      <c r="J104" s="1234">
        <f>'[34]K '!J106</f>
        <v>44.87</v>
      </c>
      <c r="K104" s="1234">
        <f>'[34]K '!K106</f>
        <v>35.07</v>
      </c>
      <c r="L104" s="1234">
        <f>'[34]K '!L106</f>
        <v>34.94</v>
      </c>
      <c r="M104" s="1234">
        <f>'[34]K '!M106</f>
        <v>29.98</v>
      </c>
      <c r="N104" s="1234">
        <f>'[34]K '!N106</f>
        <v>26.37</v>
      </c>
      <c r="O104" s="1234">
        <f>'[34]K '!O106</f>
        <v>28.54</v>
      </c>
      <c r="P104" s="1234">
        <f>'[34]K '!P106</f>
        <v>33.11</v>
      </c>
      <c r="Q104" s="1234">
        <f>'[34]K '!Q106</f>
        <v>27.91</v>
      </c>
      <c r="R104" s="1234">
        <f>'[34]K '!R106</f>
        <v>28.87</v>
      </c>
    </row>
    <row r="105" spans="1:19">
      <c r="A105" s="974">
        <f t="shared" si="13"/>
        <v>91</v>
      </c>
      <c r="B105" s="4" t="s">
        <v>1080</v>
      </c>
      <c r="G105" s="908" t="s">
        <v>349</v>
      </c>
      <c r="H105" s="908" t="s">
        <v>349</v>
      </c>
      <c r="I105" s="1234">
        <f>'[34]K '!I107</f>
        <v>46.94</v>
      </c>
      <c r="J105" s="1234">
        <f>'[34]K '!J107</f>
        <v>38.590000000000003</v>
      </c>
      <c r="K105" s="1234">
        <f>'[34]K '!K107</f>
        <v>30.91</v>
      </c>
      <c r="L105" s="1234">
        <f>'[34]K '!L107</f>
        <v>31.34</v>
      </c>
      <c r="M105" s="1234">
        <f>'[34]K '!M107</f>
        <v>26.41</v>
      </c>
      <c r="N105" s="1234">
        <f>'[34]K '!N107</f>
        <v>22.81</v>
      </c>
      <c r="O105" s="1234">
        <f>'[34]K '!O107</f>
        <v>25.81</v>
      </c>
      <c r="P105" s="1234">
        <f>'[34]K '!P107</f>
        <v>29.38</v>
      </c>
      <c r="Q105" s="1234">
        <f>'[34]K '!Q107</f>
        <v>26</v>
      </c>
      <c r="R105" s="1234">
        <f>'[34]K '!R107</f>
        <v>25.94</v>
      </c>
    </row>
    <row r="106" spans="1:19">
      <c r="A106" s="974">
        <f t="shared" si="13"/>
        <v>92</v>
      </c>
      <c r="B106" s="4" t="s">
        <v>1081</v>
      </c>
      <c r="G106" s="908" t="s">
        <v>349</v>
      </c>
      <c r="H106" s="908" t="s">
        <v>349</v>
      </c>
      <c r="I106" s="1234">
        <f>'[34]K '!I108</f>
        <v>52.68</v>
      </c>
      <c r="J106" s="1234">
        <f>'[34]K '!J108</f>
        <v>45.19</v>
      </c>
      <c r="K106" s="1234">
        <f>'[34]K '!K108</f>
        <v>36.94</v>
      </c>
      <c r="L106" s="1234">
        <f>'[34]K '!L108</f>
        <v>34.32</v>
      </c>
      <c r="M106" s="1234">
        <f>'[34]K '!M108</f>
        <v>29.81</v>
      </c>
      <c r="N106" s="1234">
        <f>'[34]K '!N108</f>
        <v>28.8</v>
      </c>
      <c r="O106" s="1234">
        <f>'[34]K '!O108</f>
        <v>28.25</v>
      </c>
      <c r="P106" s="1234">
        <f>'[34]K '!P108</f>
        <v>30.66</v>
      </c>
      <c r="Q106" s="1234">
        <f>'[34]K '!Q108</f>
        <v>29.11</v>
      </c>
      <c r="R106" s="1234">
        <f>'[34]K '!R108</f>
        <v>29.76</v>
      </c>
    </row>
    <row r="107" spans="1:19">
      <c r="A107" s="974">
        <f t="shared" si="13"/>
        <v>93</v>
      </c>
      <c r="B107" s="4" t="s">
        <v>1082</v>
      </c>
      <c r="G107" s="908" t="s">
        <v>349</v>
      </c>
      <c r="H107" s="908" t="s">
        <v>349</v>
      </c>
      <c r="I107" s="1234">
        <f>'[34]K '!I109</f>
        <v>47.01</v>
      </c>
      <c r="J107" s="1234">
        <f>'[34]K '!J109</f>
        <v>39.4</v>
      </c>
      <c r="K107" s="1234">
        <f>'[34]K '!K109</f>
        <v>34.94</v>
      </c>
      <c r="L107" s="1234">
        <f>'[34]K '!L109</f>
        <v>28.87</v>
      </c>
      <c r="M107" s="1234">
        <f>'[34]K '!M109</f>
        <v>26.82</v>
      </c>
      <c r="N107" s="1234">
        <f>'[34]K '!N109</f>
        <v>24.65</v>
      </c>
      <c r="O107" s="1234">
        <f>'[34]K '!O109</f>
        <v>25.49</v>
      </c>
      <c r="P107" s="1234">
        <f>'[34]K '!P109</f>
        <v>26.47</v>
      </c>
      <c r="Q107" s="1234">
        <f>'[34]K '!Q109</f>
        <v>27.96</v>
      </c>
      <c r="R107" s="1234">
        <f>'[34]K '!R109</f>
        <v>28.23</v>
      </c>
    </row>
    <row r="108" spans="1:19">
      <c r="A108" s="974">
        <f t="shared" si="13"/>
        <v>94</v>
      </c>
      <c r="B108" s="4" t="s">
        <v>1083</v>
      </c>
      <c r="G108" s="908" t="s">
        <v>349</v>
      </c>
      <c r="H108" s="908" t="s">
        <v>349</v>
      </c>
      <c r="I108" s="1234">
        <f>'[34]K '!I110</f>
        <v>31.62</v>
      </c>
      <c r="J108" s="1234">
        <f>'[34]K '!J110</f>
        <v>28.14</v>
      </c>
      <c r="K108" s="1234">
        <f>'[34]K '!K110</f>
        <v>25.876837186855614</v>
      </c>
      <c r="L108" s="1234">
        <f>'[34]K '!L110</f>
        <v>24.879991616290869</v>
      </c>
      <c r="M108" s="1234">
        <f>'[34]K '!M110</f>
        <v>23.569582999718683</v>
      </c>
      <c r="N108" s="1234">
        <f>'[34]K '!N110</f>
        <v>23.758578912901115</v>
      </c>
      <c r="O108" s="1234">
        <f>'[34]K '!O110</f>
        <v>22.820426724185854</v>
      </c>
      <c r="P108" s="1234">
        <f>'[34]K '!P110</f>
        <v>22.469355096815491</v>
      </c>
      <c r="Q108" s="1234">
        <f>'[34]K '!Q110</f>
        <v>20.303524570978034</v>
      </c>
      <c r="R108" s="1234">
        <f>'[34]K '!R110</f>
        <v>19.899999999999999</v>
      </c>
    </row>
    <row r="109" spans="1:19">
      <c r="A109" s="974">
        <f t="shared" si="13"/>
        <v>95</v>
      </c>
      <c r="G109" s="908"/>
      <c r="H109" s="908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1:19">
      <c r="A110" s="974">
        <f t="shared" si="13"/>
        <v>96</v>
      </c>
      <c r="B110" s="1" t="s">
        <v>849</v>
      </c>
      <c r="G110" s="136"/>
      <c r="H110" s="136"/>
      <c r="I110" s="136"/>
      <c r="J110" s="136"/>
      <c r="K110" s="136"/>
      <c r="L110" s="136"/>
      <c r="M110" s="136"/>
      <c r="N110" s="136"/>
      <c r="O110" s="911"/>
      <c r="P110" s="911"/>
      <c r="Q110" s="911"/>
      <c r="R110" s="911"/>
    </row>
    <row r="111" spans="1:19">
      <c r="A111" s="974">
        <f t="shared" si="13"/>
        <v>97</v>
      </c>
      <c r="G111" s="136"/>
      <c r="H111" s="136"/>
      <c r="I111" s="136"/>
      <c r="J111" s="136"/>
      <c r="K111" s="136"/>
      <c r="L111" s="136"/>
      <c r="M111" s="136"/>
      <c r="N111" s="136"/>
      <c r="O111" s="911"/>
      <c r="P111" s="136"/>
      <c r="Q111" s="136"/>
      <c r="R111" s="136"/>
    </row>
    <row r="112" spans="1:19">
      <c r="A112" s="974">
        <f t="shared" si="13"/>
        <v>98</v>
      </c>
      <c r="B112" s="17" t="s">
        <v>1106</v>
      </c>
      <c r="C112" s="16"/>
      <c r="D112" s="16"/>
      <c r="E112" s="1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1:19" ht="15.75">
      <c r="A113" s="974">
        <f t="shared" si="13"/>
        <v>99</v>
      </c>
      <c r="B113" s="4" t="s">
        <v>634</v>
      </c>
      <c r="G113" s="912" t="s">
        <v>349</v>
      </c>
      <c r="H113" s="912" t="s">
        <v>349</v>
      </c>
      <c r="I113" s="911">
        <f>'[34]K '!I115</f>
        <v>0.10199999999999999</v>
      </c>
      <c r="J113" s="911">
        <f>'[34]K '!J115</f>
        <v>9.8000000000000004E-2</v>
      </c>
      <c r="K113" s="911">
        <f>'[34]K '!K115</f>
        <v>8.3297938918196424E-2</v>
      </c>
      <c r="L113" s="911">
        <f>'[34]K '!L115</f>
        <v>8.5520016942695926E-2</v>
      </c>
      <c r="M113" s="911">
        <f>'[34]K '!M115</f>
        <v>8.7185418321332489E-2</v>
      </c>
      <c r="N113" s="911">
        <f>'[34]K '!N115</f>
        <v>8.6681501437724351E-2</v>
      </c>
      <c r="O113" s="911">
        <f>'[34]K '!O115</f>
        <v>8.7999999999999995E-2</v>
      </c>
      <c r="P113" s="911">
        <f>'[34]K '!P115</f>
        <v>8.7999999999999995E-2</v>
      </c>
      <c r="Q113" s="911">
        <f>'[34]K '!Q115</f>
        <v>8.8999999999999996E-2</v>
      </c>
      <c r="R113" s="911">
        <f>'[34]K '!R115</f>
        <v>0.09</v>
      </c>
      <c r="S113" s="854"/>
    </row>
    <row r="114" spans="1:19">
      <c r="A114" s="974">
        <f t="shared" si="13"/>
        <v>100</v>
      </c>
      <c r="B114" s="4" t="s">
        <v>339</v>
      </c>
      <c r="G114" s="911">
        <f>(G55)/G45</f>
        <v>3.7698196643069339E-3</v>
      </c>
      <c r="H114" s="911">
        <f>(H55)/H45</f>
        <v>3.4425426690846122E-3</v>
      </c>
      <c r="I114" s="911">
        <f>'[34]K '!I116</f>
        <v>5.1999999999999998E-2</v>
      </c>
      <c r="J114" s="911">
        <f>'[34]K '!J116</f>
        <v>4.8000000000000001E-2</v>
      </c>
      <c r="K114" s="911">
        <f>'[34]K '!K116</f>
        <v>4.0231888705646007E-2</v>
      </c>
      <c r="L114" s="911">
        <f>'[34]K '!L116</f>
        <v>4.3176826787451009E-2</v>
      </c>
      <c r="M114" s="911">
        <f>'[34]K '!M116</f>
        <v>4.4499578680161404E-2</v>
      </c>
      <c r="N114" s="911">
        <f>'[34]K '!N116</f>
        <v>4.2668457525681526E-2</v>
      </c>
      <c r="O114" s="911">
        <f>'[34]K '!O116</f>
        <v>4.2999999999999997E-2</v>
      </c>
      <c r="P114" s="911">
        <f>'[34]K '!P116</f>
        <v>4.2999999999999997E-2</v>
      </c>
      <c r="Q114" s="911">
        <f>'[34]K '!Q116</f>
        <v>3.9E-2</v>
      </c>
      <c r="R114" s="911">
        <f>'[34]K '!R116</f>
        <v>3.933224430652113E-2</v>
      </c>
    </row>
    <row r="115" spans="1:19">
      <c r="A115" s="974">
        <f t="shared" si="13"/>
        <v>101</v>
      </c>
      <c r="B115" s="4" t="s">
        <v>340</v>
      </c>
      <c r="G115" s="911">
        <f>G55/G27</f>
        <v>6.3090349080059061E-2</v>
      </c>
      <c r="H115" s="911">
        <f>H55/H27</f>
        <v>6.1007272490934121E-2</v>
      </c>
      <c r="I115" s="911">
        <f>'[34]K '!I117</f>
        <v>4.4999999999999998E-2</v>
      </c>
      <c r="J115" s="911">
        <f>'[34]K '!J117</f>
        <v>4.2999999999999997E-2</v>
      </c>
      <c r="K115" s="911">
        <f>'[34]K '!K117</f>
        <v>3.618310387082551E-2</v>
      </c>
      <c r="L115" s="911">
        <f>'[34]K '!L117</f>
        <v>3.8142668443685655E-2</v>
      </c>
      <c r="M115" s="911">
        <f>'[34]K '!M117</f>
        <v>4.1128106498813176E-2</v>
      </c>
      <c r="N115" s="911">
        <f>'[34]K '!N117</f>
        <v>4.2747157694961804E-2</v>
      </c>
      <c r="O115" s="911">
        <f>'[34]K '!O117</f>
        <v>4.4999999999999998E-2</v>
      </c>
      <c r="P115" s="911">
        <f>'[34]K '!P117</f>
        <v>4.4999999999999998E-2</v>
      </c>
      <c r="Q115" s="911">
        <f>'[34]K '!Q117</f>
        <v>4.2000000000000003E-2</v>
      </c>
      <c r="R115" s="911">
        <f>'[34]K '!R117</f>
        <v>4.5637607983685879E-2</v>
      </c>
    </row>
    <row r="116" spans="1:19">
      <c r="A116" s="974">
        <f t="shared" si="13"/>
        <v>102</v>
      </c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1:19">
      <c r="A117" s="974">
        <f t="shared" si="13"/>
        <v>103</v>
      </c>
      <c r="B117" s="17" t="s">
        <v>1174</v>
      </c>
      <c r="C117" s="16"/>
      <c r="D117" s="16"/>
      <c r="E117" s="1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1:19">
      <c r="A118" s="974">
        <f t="shared" si="13"/>
        <v>104</v>
      </c>
      <c r="B118" s="4" t="s">
        <v>341</v>
      </c>
      <c r="D118" s="4" t="s">
        <v>60</v>
      </c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1:19" ht="15.75">
      <c r="A119" s="974">
        <f t="shared" si="13"/>
        <v>105</v>
      </c>
      <c r="B119" s="4" t="s">
        <v>1057</v>
      </c>
      <c r="G119" s="136">
        <f>+I.3!O16/1000</f>
        <v>10336.50697122786</v>
      </c>
      <c r="H119" s="136">
        <f>+I.3!M16/1000</f>
        <v>10302.984841957554</v>
      </c>
      <c r="I119" s="136">
        <f>'[34]K '!I121</f>
        <v>11729</v>
      </c>
      <c r="J119" s="136">
        <f>'[34]K '!J121</f>
        <v>10695</v>
      </c>
      <c r="K119" s="136">
        <f>'[34]K '!K121</f>
        <v>8433</v>
      </c>
      <c r="L119" s="136">
        <f>'[34]K '!L121</f>
        <v>10187</v>
      </c>
      <c r="M119" s="136">
        <f>'[34]K '!M121</f>
        <v>10735</v>
      </c>
      <c r="N119" s="136">
        <f>'[34]K '!N121</f>
        <v>10261</v>
      </c>
      <c r="O119" s="136">
        <f>'[34]K '!O121</f>
        <v>10854.609817299999</v>
      </c>
      <c r="P119" s="136">
        <f>'[34]K '!P121</f>
        <v>10384.574465399999</v>
      </c>
      <c r="Q119" s="136">
        <f>'[34]K '!Q121</f>
        <v>9751.4825102999985</v>
      </c>
      <c r="R119" s="136">
        <f>'[34]K '!R121</f>
        <v>11112</v>
      </c>
      <c r="S119" s="854"/>
    </row>
    <row r="120" spans="1:19">
      <c r="A120" s="974">
        <f t="shared" si="13"/>
        <v>106</v>
      </c>
      <c r="B120" s="4" t="s">
        <v>1058</v>
      </c>
      <c r="G120" s="136">
        <f>+I.3!O17/1000</f>
        <v>5105.6072177000005</v>
      </c>
      <c r="H120" s="136">
        <f>+I.3!M17/1000</f>
        <v>5105.6072176999996</v>
      </c>
      <c r="I120" s="136">
        <f>'[34]K '!I122</f>
        <v>5650</v>
      </c>
      <c r="J120" s="136">
        <f>'[34]K '!J122</f>
        <v>5143</v>
      </c>
      <c r="K120" s="136">
        <f>'[34]K '!K122</f>
        <v>3972</v>
      </c>
      <c r="L120" s="136">
        <f>'[34]K '!L122</f>
        <v>4642</v>
      </c>
      <c r="M120" s="136">
        <f>'[34]K '!M122</f>
        <v>5049</v>
      </c>
      <c r="N120" s="136">
        <f>'[34]K '!N122</f>
        <v>4659</v>
      </c>
      <c r="O120" s="136">
        <f>'[34]K '!O122</f>
        <v>5017.1545153999996</v>
      </c>
      <c r="P120" s="136">
        <f>'[34]K '!P122</f>
        <v>4793.0605848999994</v>
      </c>
      <c r="Q120" s="136">
        <f>'[34]K '!Q122</f>
        <v>4642.0205508999979</v>
      </c>
      <c r="R120" s="136">
        <f>'[34]K '!R122</f>
        <v>5362</v>
      </c>
    </row>
    <row r="121" spans="1:19">
      <c r="A121" s="974">
        <f t="shared" si="13"/>
        <v>107</v>
      </c>
      <c r="B121" s="4" t="s">
        <v>178</v>
      </c>
      <c r="G121" s="136">
        <f>+I.3!O18/1000</f>
        <v>921.68530780000003</v>
      </c>
      <c r="H121" s="136">
        <f>+I.3!M18/1000</f>
        <v>921.68530780000003</v>
      </c>
      <c r="I121" s="136">
        <f>'[34]K '!I123</f>
        <v>810</v>
      </c>
      <c r="J121" s="136">
        <f>'[34]K '!J123</f>
        <v>811</v>
      </c>
      <c r="K121" s="136">
        <f>'[34]K '!K123</f>
        <v>995</v>
      </c>
      <c r="L121" s="136">
        <f>'[34]K '!L123</f>
        <v>821</v>
      </c>
      <c r="M121" s="136">
        <f>'[34]K '!M123</f>
        <v>724</v>
      </c>
      <c r="N121" s="136">
        <f>'[34]K '!N123</f>
        <v>960</v>
      </c>
      <c r="O121" s="136">
        <f>'[34]K '!O123</f>
        <v>1714.5599533</v>
      </c>
      <c r="P121" s="136">
        <f>'[34]K '!P123</f>
        <v>1757.0290563999999</v>
      </c>
      <c r="Q121" s="136">
        <f>'[34]K '!Q123</f>
        <v>1327.230196</v>
      </c>
      <c r="R121" s="136">
        <f>'[34]K '!R123</f>
        <v>2268</v>
      </c>
    </row>
    <row r="122" spans="1:19">
      <c r="A122" s="974">
        <f t="shared" si="13"/>
        <v>108</v>
      </c>
      <c r="B122" s="4" t="s">
        <v>799</v>
      </c>
      <c r="G122" s="136">
        <f>+I.3!O19/1000</f>
        <v>1084.7042238000001</v>
      </c>
      <c r="H122" s="136">
        <f>+I.3!M19/1000</f>
        <v>1084.7042238000001</v>
      </c>
      <c r="I122" s="136">
        <f>'[34]K '!I124</f>
        <v>1234</v>
      </c>
      <c r="J122" s="136">
        <f>'[34]K '!J124</f>
        <v>1179</v>
      </c>
      <c r="K122" s="136">
        <f>'[34]K '!K124</f>
        <v>980</v>
      </c>
      <c r="L122" s="136">
        <f>'[34]K '!L124</f>
        <v>1111</v>
      </c>
      <c r="M122" s="136">
        <f>'[34]K '!M124</f>
        <v>1192</v>
      </c>
      <c r="N122" s="136">
        <f>'[34]K '!N124</f>
        <v>1176</v>
      </c>
      <c r="O122" s="136">
        <f>'[34]K '!O124</f>
        <v>1252.6995403999999</v>
      </c>
      <c r="P122" s="136">
        <f>'[34]K '!P124</f>
        <v>1194.8405935000001</v>
      </c>
      <c r="Q122" s="136">
        <f>'[34]K '!Q124</f>
        <v>1261.0670940999998</v>
      </c>
      <c r="R122" s="136">
        <f>'[34]K '!R124</f>
        <v>1479</v>
      </c>
    </row>
    <row r="123" spans="1:19">
      <c r="A123" s="974">
        <f t="shared" si="13"/>
        <v>109</v>
      </c>
      <c r="B123" s="226" t="s">
        <v>90</v>
      </c>
      <c r="G123" s="576">
        <f>+I.3!O20/1000</f>
        <v>0</v>
      </c>
      <c r="H123" s="576">
        <f>+I.3!M20/1000</f>
        <v>0</v>
      </c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1:19">
      <c r="A124" s="974">
        <f t="shared" si="13"/>
        <v>110</v>
      </c>
      <c r="B124" s="4" t="s">
        <v>313</v>
      </c>
      <c r="G124" s="136">
        <f>SUM(G119:G123)</f>
        <v>17448.50372052786</v>
      </c>
      <c r="H124" s="136">
        <f>SUM(H119:H123)</f>
        <v>17414.981591257554</v>
      </c>
      <c r="I124" s="1200">
        <f t="shared" ref="I124:R124" si="15">I119+I120+I121+I122</f>
        <v>19423</v>
      </c>
      <c r="J124" s="1200">
        <f t="shared" si="15"/>
        <v>17828</v>
      </c>
      <c r="K124" s="1200">
        <f t="shared" si="15"/>
        <v>14380</v>
      </c>
      <c r="L124" s="1200">
        <f t="shared" si="15"/>
        <v>16761</v>
      </c>
      <c r="M124" s="1200">
        <f t="shared" si="15"/>
        <v>17700</v>
      </c>
      <c r="N124" s="1200">
        <f t="shared" si="15"/>
        <v>17056</v>
      </c>
      <c r="O124" s="1200">
        <f t="shared" si="15"/>
        <v>18839.0238264</v>
      </c>
      <c r="P124" s="1200">
        <f t="shared" si="15"/>
        <v>18129.504700199999</v>
      </c>
      <c r="Q124" s="1200">
        <f t="shared" si="15"/>
        <v>16981.800351299997</v>
      </c>
      <c r="R124" s="1200">
        <f t="shared" si="15"/>
        <v>20221</v>
      </c>
    </row>
    <row r="125" spans="1:19">
      <c r="A125" s="974">
        <f t="shared" si="13"/>
        <v>111</v>
      </c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</row>
    <row r="126" spans="1:19">
      <c r="A126" s="974">
        <f t="shared" si="13"/>
        <v>112</v>
      </c>
      <c r="B126" s="4" t="s">
        <v>314</v>
      </c>
      <c r="D126" s="4" t="s">
        <v>60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1:19">
      <c r="A127" s="974">
        <f t="shared" si="13"/>
        <v>113</v>
      </c>
      <c r="B127" s="4"/>
      <c r="G127" s="136">
        <v>0</v>
      </c>
      <c r="H127" s="136">
        <v>0</v>
      </c>
      <c r="I127" s="136">
        <v>0</v>
      </c>
      <c r="J127" s="136">
        <v>0</v>
      </c>
      <c r="K127" s="136">
        <v>0</v>
      </c>
      <c r="L127" s="136">
        <v>0</v>
      </c>
      <c r="M127" s="136">
        <v>0</v>
      </c>
      <c r="N127" s="136">
        <v>0</v>
      </c>
      <c r="O127" s="136">
        <v>0</v>
      </c>
      <c r="P127" s="136">
        <v>0</v>
      </c>
      <c r="Q127" s="136">
        <v>0</v>
      </c>
      <c r="R127" s="136">
        <v>0</v>
      </c>
    </row>
    <row r="128" spans="1:19">
      <c r="A128" s="974">
        <f t="shared" si="13"/>
        <v>114</v>
      </c>
      <c r="B128" s="4" t="s">
        <v>446</v>
      </c>
      <c r="G128" s="136">
        <f t="shared" ref="G128:R128" si="16">G130-G127</f>
        <v>17780.025291217891</v>
      </c>
      <c r="H128" s="136">
        <f t="shared" si="16"/>
        <v>17745.866241491447</v>
      </c>
      <c r="I128" s="136">
        <f t="shared" si="16"/>
        <v>21324</v>
      </c>
      <c r="J128" s="136">
        <f t="shared" si="16"/>
        <v>18367</v>
      </c>
      <c r="K128" s="136">
        <f t="shared" si="16"/>
        <v>17441</v>
      </c>
      <c r="L128" s="136">
        <f t="shared" si="16"/>
        <v>16748</v>
      </c>
      <c r="M128" s="136">
        <f t="shared" si="16"/>
        <v>17596</v>
      </c>
      <c r="N128" s="136">
        <f t="shared" si="16"/>
        <v>17034</v>
      </c>
      <c r="O128" s="136">
        <f t="shared" si="16"/>
        <v>18789.664000000001</v>
      </c>
      <c r="P128" s="136">
        <f t="shared" si="16"/>
        <v>19493.048999999999</v>
      </c>
      <c r="Q128" s="136">
        <f t="shared" si="16"/>
        <v>19334.194</v>
      </c>
      <c r="R128" s="136">
        <f t="shared" si="16"/>
        <v>19589</v>
      </c>
    </row>
    <row r="129" spans="1:20">
      <c r="A129" s="974">
        <f t="shared" si="13"/>
        <v>115</v>
      </c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</row>
    <row r="130" spans="1:20" ht="15.75">
      <c r="A130" s="974">
        <f t="shared" si="13"/>
        <v>116</v>
      </c>
      <c r="B130" s="4" t="s">
        <v>1184</v>
      </c>
      <c r="G130" s="136">
        <f>+G124+(0.019*G124)</f>
        <v>17780.025291217891</v>
      </c>
      <c r="H130" s="136">
        <f>+H124+(0.019*H124)</f>
        <v>17745.866241491447</v>
      </c>
      <c r="I130" s="136">
        <f>'[34]K '!I132</f>
        <v>21324</v>
      </c>
      <c r="J130" s="136">
        <f>'[34]K '!J132</f>
        <v>18367</v>
      </c>
      <c r="K130" s="136">
        <f>'[34]K '!K132</f>
        <v>17441</v>
      </c>
      <c r="L130" s="136">
        <f>'[34]K '!L132</f>
        <v>16748</v>
      </c>
      <c r="M130" s="136">
        <f>'[34]K '!M132</f>
        <v>17596</v>
      </c>
      <c r="N130" s="136">
        <f>'[34]K '!N132</f>
        <v>17034</v>
      </c>
      <c r="O130" s="136">
        <f>'[34]K '!O132</f>
        <v>18789.664000000001</v>
      </c>
      <c r="P130" s="136">
        <f>'[34]K '!P132</f>
        <v>19493.048999999999</v>
      </c>
      <c r="Q130" s="136">
        <f>'[34]K '!Q132</f>
        <v>19334.194</v>
      </c>
      <c r="R130" s="136">
        <f>'[34]K '!R132</f>
        <v>19589</v>
      </c>
      <c r="S130" s="854"/>
    </row>
    <row r="131" spans="1:20">
      <c r="A131" s="974">
        <f t="shared" si="13"/>
        <v>117</v>
      </c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1:20" ht="15.75">
      <c r="A132" s="974">
        <f t="shared" si="13"/>
        <v>118</v>
      </c>
      <c r="B132" s="4" t="s">
        <v>315</v>
      </c>
      <c r="G132" s="756">
        <f>[3]Reserve!$BJ$168</f>
        <v>3.3280682731564759E-2</v>
      </c>
      <c r="H132" s="756">
        <f>[3]Reserve!$AU$168</f>
        <v>3.4700027478474914E-2</v>
      </c>
      <c r="I132" s="756">
        <f>'[34]K '!I134</f>
        <v>3.5000000000000003E-2</v>
      </c>
      <c r="J132" s="756">
        <f>'[34]K '!J134</f>
        <v>3.3099999999999997E-2</v>
      </c>
      <c r="K132" s="756">
        <f>'[34]K '!K134</f>
        <v>3.49E-2</v>
      </c>
      <c r="L132" s="756">
        <f>'[34]K '!L134</f>
        <v>3.5799999999999998E-2</v>
      </c>
      <c r="M132" s="756">
        <f>'[34]K '!M134</f>
        <v>3.4000000000000002E-2</v>
      </c>
      <c r="N132" s="756">
        <f>'[34]K '!N134</f>
        <v>3.4299999999999997E-2</v>
      </c>
      <c r="O132" s="756">
        <f>'[34]K '!O134</f>
        <v>3.1732611870051476E-2</v>
      </c>
      <c r="P132" s="756">
        <f>'[34]K '!P134</f>
        <v>3.4804141665331238E-2</v>
      </c>
      <c r="Q132" s="756">
        <f>'[34]K '!Q134</f>
        <v>3.69678612587429E-2</v>
      </c>
      <c r="R132" s="756">
        <f>'[34]K '!R134</f>
        <v>3.7400000000000003E-2</v>
      </c>
      <c r="S132" s="854"/>
      <c r="T132" s="771"/>
    </row>
    <row r="133" spans="1:20">
      <c r="A133" s="4"/>
      <c r="B133" s="4"/>
      <c r="G133" s="756"/>
      <c r="H133" s="756"/>
      <c r="I133" s="756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1:20">
      <c r="B134" s="1" t="s">
        <v>911</v>
      </c>
      <c r="G134" s="130"/>
      <c r="H134" s="130"/>
      <c r="I134" s="130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1:20">
      <c r="B135" s="4" t="s">
        <v>1185</v>
      </c>
      <c r="G135" s="130"/>
      <c r="H135" s="130"/>
      <c r="I135" s="130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1:20"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1:20"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1:20"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</sheetData>
  <mergeCells count="6">
    <mergeCell ref="A5:R5"/>
    <mergeCell ref="A6:R6"/>
    <mergeCell ref="A1:R1"/>
    <mergeCell ref="A2:R2"/>
    <mergeCell ref="A3:R3"/>
    <mergeCell ref="A4:R4"/>
  </mergeCells>
  <phoneticPr fontId="24" type="noConversion"/>
  <printOptions horizontalCentered="1"/>
  <pageMargins left="0.75" right="0.75" top="0.62" bottom="0.81" header="0.5" footer="0.39"/>
  <pageSetup scale="61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37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88671875" customWidth="1"/>
    <col min="2" max="2" width="6.88671875" customWidth="1"/>
    <col min="3" max="3" width="37" customWidth="1"/>
    <col min="4" max="4" width="13.5546875" customWidth="1"/>
    <col min="5" max="5" width="11.109375" bestFit="1" customWidth="1"/>
    <col min="6" max="6" width="14.33203125" customWidth="1"/>
    <col min="7" max="7" width="12.77734375" style="76" customWidth="1"/>
    <col min="8" max="8" width="12.6640625" style="76" customWidth="1"/>
    <col min="9" max="9" width="13.77734375" customWidth="1"/>
    <col min="10" max="10" width="3.21875" customWidth="1"/>
    <col min="11" max="11" width="15.6640625" customWidth="1"/>
    <col min="12" max="12" width="12.6640625" style="76" customWidth="1"/>
    <col min="13" max="13" width="9.77734375" style="76" bestFit="1" customWidth="1"/>
    <col min="14" max="14" width="14.21875" customWidth="1"/>
    <col min="15" max="15" width="5.44140625" customWidth="1"/>
    <col min="16" max="17" width="12" bestFit="1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511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B'!A4</f>
        <v>as of February 29, 2016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>
      <c r="A5" s="40"/>
      <c r="B5" s="40"/>
      <c r="C5" s="40"/>
      <c r="D5" s="40"/>
      <c r="E5" s="783"/>
      <c r="G5" s="77"/>
      <c r="H5" s="77"/>
      <c r="J5" s="1"/>
      <c r="K5" s="40"/>
    </row>
    <row r="6" spans="1:17" ht="15.75">
      <c r="A6" s="4" t="str">
        <f>'B.1 B'!A6</f>
        <v>Data:__X___Base Period______Forecasted Period</v>
      </c>
      <c r="B6" s="1"/>
      <c r="C6" s="1"/>
      <c r="D6" s="1"/>
      <c r="E6" s="772"/>
      <c r="F6" s="772"/>
      <c r="G6" s="77"/>
      <c r="K6" s="1"/>
      <c r="N6" s="927" t="s">
        <v>1512</v>
      </c>
    </row>
    <row r="7" spans="1:17">
      <c r="A7" s="4" t="str">
        <f>'B.1 B'!A7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8" t="s">
        <v>1028</v>
      </c>
    </row>
    <row r="8" spans="1:17">
      <c r="A8" s="70" t="str">
        <f>'B.1 B'!A8</f>
        <v>Workpaper Reference No(s).</v>
      </c>
      <c r="B8" s="47"/>
      <c r="C8" s="47"/>
      <c r="D8" s="47"/>
      <c r="E8" s="47"/>
      <c r="F8" s="47"/>
      <c r="G8" s="299"/>
      <c r="H8" s="91"/>
      <c r="I8" s="70"/>
      <c r="J8" s="70"/>
      <c r="K8" s="47"/>
      <c r="L8" s="91"/>
      <c r="N8" s="724" t="str">
        <f>'B.1 B'!F8</f>
        <v>Witness:   Waller</v>
      </c>
    </row>
    <row r="9" spans="1:17">
      <c r="A9" s="506"/>
      <c r="B9" s="85"/>
      <c r="C9" s="50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 ht="15.75">
      <c r="A10" s="508"/>
      <c r="B10" s="47"/>
      <c r="C10" s="509"/>
      <c r="D10" s="773">
        <v>42429</v>
      </c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46" t="s">
        <v>273</v>
      </c>
      <c r="C11" s="432" t="s">
        <v>221</v>
      </c>
      <c r="D11" s="946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>
      <c r="A12" s="433" t="s">
        <v>104</v>
      </c>
      <c r="B12" s="44" t="s">
        <v>104</v>
      </c>
      <c r="C12" s="434" t="s">
        <v>304</v>
      </c>
      <c r="D12" s="433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433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60">
        <v>1</v>
      </c>
      <c r="B15" s="60"/>
      <c r="C15" s="17" t="s">
        <v>305</v>
      </c>
    </row>
    <row r="16" spans="1:17">
      <c r="A16" s="260">
        <f>A15+1</f>
        <v>2</v>
      </c>
      <c r="B16" s="406">
        <v>30100</v>
      </c>
      <c r="C16" s="247" t="s">
        <v>299</v>
      </c>
      <c r="D16" s="417">
        <f>'[3]Gross Plant'!$Q84</f>
        <v>8329.7199999999993</v>
      </c>
      <c r="E16" s="615">
        <v>0</v>
      </c>
      <c r="F16" s="462">
        <f>D16+E16</f>
        <v>8329.7199999999993</v>
      </c>
      <c r="G16" s="437">
        <v>1</v>
      </c>
      <c r="H16" s="437">
        <f>$G$16</f>
        <v>1</v>
      </c>
      <c r="I16" s="462">
        <f>F16*G16*H16</f>
        <v>8329.7199999999993</v>
      </c>
      <c r="J16" s="577"/>
      <c r="K16" s="417">
        <f>'[3]Gross Plant'!$C84</f>
        <v>8329.7199999999993</v>
      </c>
      <c r="L16" s="438">
        <f t="shared" ref="L16:M17" si="0">$G$16</f>
        <v>1</v>
      </c>
      <c r="M16" s="438">
        <f t="shared" si="0"/>
        <v>1</v>
      </c>
      <c r="N16" s="407">
        <f>K16*L16*M16</f>
        <v>8329.7199999999993</v>
      </c>
    </row>
    <row r="17" spans="1:14">
      <c r="A17" s="260">
        <f t="shared" ref="A17:A80" si="1">A16+1</f>
        <v>3</v>
      </c>
      <c r="B17" s="406">
        <v>30200</v>
      </c>
      <c r="C17" s="247" t="s">
        <v>158</v>
      </c>
      <c r="D17" s="417">
        <f>'[3]Gross Plant'!$Q85</f>
        <v>119852.69</v>
      </c>
      <c r="E17" s="809">
        <v>0</v>
      </c>
      <c r="F17" s="809">
        <f>D17+E17</f>
        <v>119852.69</v>
      </c>
      <c r="G17" s="437">
        <f>$G$16</f>
        <v>1</v>
      </c>
      <c r="H17" s="437">
        <f>$G$16</f>
        <v>1</v>
      </c>
      <c r="I17" s="809">
        <f>F17*G17*H17</f>
        <v>119852.69</v>
      </c>
      <c r="J17" s="106"/>
      <c r="K17" s="417">
        <f>'[3]Gross Plant'!$C85</f>
        <v>119852.68999999996</v>
      </c>
      <c r="L17" s="438">
        <f t="shared" si="0"/>
        <v>1</v>
      </c>
      <c r="M17" s="438">
        <f t="shared" si="0"/>
        <v>1</v>
      </c>
      <c r="N17" s="390">
        <f>K17*L17*M17</f>
        <v>119852.68999999996</v>
      </c>
    </row>
    <row r="18" spans="1:14">
      <c r="A18" s="260">
        <f t="shared" si="1"/>
        <v>4</v>
      </c>
      <c r="B18" s="405"/>
      <c r="C18" s="247"/>
      <c r="D18" s="812"/>
      <c r="E18" s="812"/>
      <c r="F18" s="812"/>
      <c r="G18" s="437"/>
      <c r="H18" s="437"/>
      <c r="I18" s="812"/>
      <c r="J18" s="106"/>
      <c r="K18" s="812"/>
      <c r="N18" s="789"/>
    </row>
    <row r="19" spans="1:14">
      <c r="A19" s="260">
        <f t="shared" si="1"/>
        <v>5</v>
      </c>
      <c r="B19" s="405"/>
      <c r="C19" s="247" t="s">
        <v>306</v>
      </c>
      <c r="D19" s="462">
        <f>SUM(D16:D17)</f>
        <v>128182.41</v>
      </c>
      <c r="E19" s="462">
        <f>SUM(E16:E17)</f>
        <v>0</v>
      </c>
      <c r="F19" s="462">
        <f>SUM(F16:F17)</f>
        <v>128182.41</v>
      </c>
      <c r="G19" s="1136"/>
      <c r="H19" s="1136"/>
      <c r="I19" s="462">
        <f>SUM(I16:I17)</f>
        <v>128182.41</v>
      </c>
      <c r="J19" s="106"/>
      <c r="K19" s="462">
        <f>SUM(K16:K17)</f>
        <v>128182.40999999996</v>
      </c>
      <c r="N19" s="407">
        <f>SUM(N16:N17)</f>
        <v>128182.40999999996</v>
      </c>
    </row>
    <row r="20" spans="1:14">
      <c r="A20" s="260">
        <f t="shared" si="1"/>
        <v>6</v>
      </c>
      <c r="B20" s="405"/>
      <c r="C20" s="60"/>
      <c r="D20" s="106"/>
      <c r="E20" s="106"/>
      <c r="F20" s="106"/>
      <c r="G20" s="437"/>
      <c r="H20" s="437"/>
      <c r="I20" s="106"/>
      <c r="J20" s="106"/>
      <c r="K20" s="106"/>
    </row>
    <row r="21" spans="1:14">
      <c r="A21" s="260">
        <f t="shared" si="1"/>
        <v>7</v>
      </c>
      <c r="B21" s="405"/>
      <c r="C21" s="17" t="s">
        <v>159</v>
      </c>
      <c r="D21" s="106"/>
      <c r="E21" s="106"/>
      <c r="F21" s="106"/>
      <c r="G21" s="437"/>
      <c r="H21" s="437"/>
      <c r="I21" s="106"/>
      <c r="J21" s="106"/>
      <c r="K21" s="106"/>
    </row>
    <row r="22" spans="1:14">
      <c r="A22" s="260">
        <f t="shared" si="1"/>
        <v>8</v>
      </c>
      <c r="B22" s="406">
        <v>32540</v>
      </c>
      <c r="C22" s="247" t="s">
        <v>166</v>
      </c>
      <c r="D22" s="417">
        <f>'[3]Gross Plant'!$Q86</f>
        <v>0</v>
      </c>
      <c r="E22" s="615">
        <v>0</v>
      </c>
      <c r="F22" s="462">
        <f t="shared" ref="F22:F24" si="2">D22+E22</f>
        <v>0</v>
      </c>
      <c r="G22" s="437">
        <f t="shared" ref="G22:H44" si="3">$G$16</f>
        <v>1</v>
      </c>
      <c r="H22" s="437">
        <f t="shared" si="3"/>
        <v>1</v>
      </c>
      <c r="I22" s="462">
        <f t="shared" ref="I22:I24" si="4">F22*G22*H22</f>
        <v>0</v>
      </c>
      <c r="J22" s="106"/>
      <c r="K22" s="417">
        <f>'[3]Gross Plant'!$C86</f>
        <v>0</v>
      </c>
      <c r="L22" s="438">
        <f t="shared" ref="L22:M24" si="5">$G$16</f>
        <v>1</v>
      </c>
      <c r="M22" s="438">
        <f t="shared" si="5"/>
        <v>1</v>
      </c>
      <c r="N22" s="407">
        <f t="shared" ref="N22:N24" si="6">K22*L22*M22</f>
        <v>0</v>
      </c>
    </row>
    <row r="23" spans="1:14">
      <c r="A23" s="260">
        <f t="shared" si="1"/>
        <v>9</v>
      </c>
      <c r="B23" s="406">
        <v>33202</v>
      </c>
      <c r="C23" s="247" t="s">
        <v>612</v>
      </c>
      <c r="D23" s="417">
        <f>'[3]Gross Plant'!$Q87</f>
        <v>0</v>
      </c>
      <c r="E23" s="809">
        <v>0</v>
      </c>
      <c r="F23" s="809">
        <f t="shared" si="2"/>
        <v>0</v>
      </c>
      <c r="G23" s="437">
        <f t="shared" si="3"/>
        <v>1</v>
      </c>
      <c r="H23" s="437">
        <f t="shared" si="3"/>
        <v>1</v>
      </c>
      <c r="I23" s="809">
        <f t="shared" si="4"/>
        <v>0</v>
      </c>
      <c r="J23" s="106"/>
      <c r="K23" s="417">
        <f>'[3]Gross Plant'!$C87</f>
        <v>0</v>
      </c>
      <c r="L23" s="438">
        <f t="shared" si="5"/>
        <v>1</v>
      </c>
      <c r="M23" s="438">
        <f t="shared" si="5"/>
        <v>1</v>
      </c>
      <c r="N23" s="390">
        <f t="shared" si="6"/>
        <v>0</v>
      </c>
    </row>
    <row r="24" spans="1:14">
      <c r="A24" s="260">
        <f t="shared" si="1"/>
        <v>10</v>
      </c>
      <c r="B24" s="406">
        <v>33400</v>
      </c>
      <c r="C24" s="247" t="s">
        <v>1140</v>
      </c>
      <c r="D24" s="417">
        <f>'[3]Gross Plant'!$Q88</f>
        <v>0</v>
      </c>
      <c r="E24" s="809">
        <v>0</v>
      </c>
      <c r="F24" s="809">
        <f t="shared" si="2"/>
        <v>0</v>
      </c>
      <c r="G24" s="437">
        <f t="shared" si="3"/>
        <v>1</v>
      </c>
      <c r="H24" s="437">
        <f t="shared" si="3"/>
        <v>1</v>
      </c>
      <c r="I24" s="809">
        <f t="shared" si="4"/>
        <v>0</v>
      </c>
      <c r="J24" s="106"/>
      <c r="K24" s="417">
        <f>'[3]Gross Plant'!$C88</f>
        <v>0</v>
      </c>
      <c r="L24" s="438">
        <f t="shared" si="5"/>
        <v>1</v>
      </c>
      <c r="M24" s="438">
        <f t="shared" si="5"/>
        <v>1</v>
      </c>
      <c r="N24" s="390">
        <f t="shared" si="6"/>
        <v>0</v>
      </c>
    </row>
    <row r="25" spans="1:14">
      <c r="A25" s="260">
        <f t="shared" si="1"/>
        <v>11</v>
      </c>
      <c r="B25" s="405"/>
      <c r="C25" s="60"/>
      <c r="D25" s="812"/>
      <c r="E25" s="812"/>
      <c r="F25" s="812"/>
      <c r="G25" s="437"/>
      <c r="H25" s="437"/>
      <c r="I25" s="812"/>
      <c r="J25" s="106"/>
      <c r="K25" s="812"/>
      <c r="N25" s="789"/>
    </row>
    <row r="26" spans="1:14">
      <c r="A26" s="260">
        <f t="shared" si="1"/>
        <v>12</v>
      </c>
      <c r="B26" s="405"/>
      <c r="C26" s="60" t="s">
        <v>283</v>
      </c>
      <c r="D26" s="462">
        <f>SUM(D22:D25)</f>
        <v>0</v>
      </c>
      <c r="E26" s="462">
        <f>SUM(E22:E25)</f>
        <v>0</v>
      </c>
      <c r="F26" s="462">
        <f>SUM(F22:F25)</f>
        <v>0</v>
      </c>
      <c r="G26" s="437"/>
      <c r="H26" s="437"/>
      <c r="I26" s="462">
        <f>SUM(I22:I25)</f>
        <v>0</v>
      </c>
      <c r="J26" s="106"/>
      <c r="K26" s="462">
        <f>SUM(K22:K25)</f>
        <v>0</v>
      </c>
      <c r="N26" s="407">
        <f>SUM(N22:N25)</f>
        <v>0</v>
      </c>
    </row>
    <row r="27" spans="1:14">
      <c r="A27" s="260">
        <f t="shared" si="1"/>
        <v>13</v>
      </c>
      <c r="B27" s="405"/>
      <c r="C27" s="247"/>
      <c r="D27" s="106"/>
      <c r="E27" s="106"/>
      <c r="F27" s="106"/>
      <c r="G27" s="437"/>
      <c r="H27" s="437"/>
      <c r="I27" s="106"/>
      <c r="J27" s="106"/>
      <c r="K27" s="106"/>
    </row>
    <row r="28" spans="1:14">
      <c r="A28" s="260">
        <f t="shared" si="1"/>
        <v>14</v>
      </c>
      <c r="B28" s="405"/>
      <c r="C28" s="17" t="s">
        <v>284</v>
      </c>
      <c r="D28" s="106"/>
      <c r="E28" s="106"/>
      <c r="F28" s="106"/>
      <c r="G28" s="437"/>
      <c r="H28" s="437"/>
      <c r="I28" s="106"/>
      <c r="J28" s="106"/>
      <c r="K28" s="106"/>
    </row>
    <row r="29" spans="1:14">
      <c r="A29" s="260">
        <f t="shared" si="1"/>
        <v>15</v>
      </c>
      <c r="B29" s="406">
        <v>35010</v>
      </c>
      <c r="C29" s="247" t="s">
        <v>300</v>
      </c>
      <c r="D29" s="417">
        <f>'[3]Gross Plant'!$Q89</f>
        <v>261126.69</v>
      </c>
      <c r="E29" s="615">
        <v>0</v>
      </c>
      <c r="F29" s="462">
        <f>D29+E29</f>
        <v>261126.69</v>
      </c>
      <c r="G29" s="437">
        <f t="shared" si="3"/>
        <v>1</v>
      </c>
      <c r="H29" s="437">
        <f t="shared" si="3"/>
        <v>1</v>
      </c>
      <c r="I29" s="462">
        <f>F29*G29*H29</f>
        <v>261126.69</v>
      </c>
      <c r="J29" s="106"/>
      <c r="K29" s="417">
        <f>'[3]Gross Plant'!$C89</f>
        <v>261126.68999999997</v>
      </c>
      <c r="L29" s="438">
        <f t="shared" ref="L29:M45" si="7">$G$16</f>
        <v>1</v>
      </c>
      <c r="M29" s="438">
        <f t="shared" si="7"/>
        <v>1</v>
      </c>
      <c r="N29" s="407">
        <f>K29*L29*M29</f>
        <v>261126.68999999997</v>
      </c>
    </row>
    <row r="30" spans="1:14">
      <c r="A30" s="260">
        <f t="shared" si="1"/>
        <v>16</v>
      </c>
      <c r="B30" s="406">
        <v>35020</v>
      </c>
      <c r="C30" s="247" t="s">
        <v>809</v>
      </c>
      <c r="D30" s="417">
        <f>'[3]Gross Plant'!$Q90</f>
        <v>4681.58</v>
      </c>
      <c r="E30" s="809">
        <v>0</v>
      </c>
      <c r="F30" s="809">
        <f>D30+E30</f>
        <v>4681.58</v>
      </c>
      <c r="G30" s="437">
        <f t="shared" si="3"/>
        <v>1</v>
      </c>
      <c r="H30" s="437">
        <f t="shared" si="3"/>
        <v>1</v>
      </c>
      <c r="I30" s="809">
        <f t="shared" ref="I30:I45" si="8">F30*G30*H30</f>
        <v>4681.58</v>
      </c>
      <c r="J30" s="106"/>
      <c r="K30" s="417">
        <f>'[3]Gross Plant'!$C90</f>
        <v>4681.5800000000008</v>
      </c>
      <c r="L30" s="438">
        <f t="shared" si="7"/>
        <v>1</v>
      </c>
      <c r="M30" s="438">
        <f t="shared" si="7"/>
        <v>1</v>
      </c>
      <c r="N30" s="390">
        <f t="shared" ref="N30:N45" si="9">K30*L30*M30</f>
        <v>4681.5800000000008</v>
      </c>
    </row>
    <row r="31" spans="1:14">
      <c r="A31" s="260">
        <f t="shared" si="1"/>
        <v>17</v>
      </c>
      <c r="B31" s="406">
        <v>35100</v>
      </c>
      <c r="C31" s="247" t="s">
        <v>988</v>
      </c>
      <c r="D31" s="417">
        <f>'[3]Gross Plant'!$Q91</f>
        <v>17916.189999999999</v>
      </c>
      <c r="E31" s="809">
        <v>0</v>
      </c>
      <c r="F31" s="809">
        <f t="shared" ref="F31:F45" si="10">D31+E31</f>
        <v>17916.189999999999</v>
      </c>
      <c r="G31" s="437">
        <f t="shared" si="3"/>
        <v>1</v>
      </c>
      <c r="H31" s="437">
        <f t="shared" si="3"/>
        <v>1</v>
      </c>
      <c r="I31" s="809">
        <f t="shared" si="8"/>
        <v>17916.189999999999</v>
      </c>
      <c r="J31" s="106"/>
      <c r="K31" s="417">
        <f>'[3]Gross Plant'!$C91</f>
        <v>17916.189999999999</v>
      </c>
      <c r="L31" s="438">
        <f t="shared" si="7"/>
        <v>1</v>
      </c>
      <c r="M31" s="438">
        <f t="shared" si="7"/>
        <v>1</v>
      </c>
      <c r="N31" s="390">
        <f t="shared" si="9"/>
        <v>17916.189999999999</v>
      </c>
    </row>
    <row r="32" spans="1:14">
      <c r="A32" s="260">
        <f t="shared" si="1"/>
        <v>18</v>
      </c>
      <c r="B32" s="406">
        <v>35102</v>
      </c>
      <c r="C32" s="247" t="s">
        <v>285</v>
      </c>
      <c r="D32" s="417">
        <f>'[3]Gross Plant'!$Q92</f>
        <v>153261.29999999999</v>
      </c>
      <c r="E32" s="809">
        <v>0</v>
      </c>
      <c r="F32" s="809">
        <f t="shared" si="10"/>
        <v>153261.29999999999</v>
      </c>
      <c r="G32" s="437">
        <f t="shared" si="3"/>
        <v>1</v>
      </c>
      <c r="H32" s="437">
        <f t="shared" si="3"/>
        <v>1</v>
      </c>
      <c r="I32" s="809">
        <f t="shared" si="8"/>
        <v>153261.29999999999</v>
      </c>
      <c r="J32" s="106"/>
      <c r="K32" s="417">
        <f>'[3]Gross Plant'!$C92</f>
        <v>153261.30000000002</v>
      </c>
      <c r="L32" s="438">
        <f t="shared" si="7"/>
        <v>1</v>
      </c>
      <c r="M32" s="438">
        <f t="shared" si="7"/>
        <v>1</v>
      </c>
      <c r="N32" s="390">
        <f t="shared" si="9"/>
        <v>153261.30000000002</v>
      </c>
    </row>
    <row r="33" spans="1:15">
      <c r="A33" s="260">
        <f t="shared" si="1"/>
        <v>19</v>
      </c>
      <c r="B33" s="406">
        <v>35103</v>
      </c>
      <c r="C33" s="247" t="s">
        <v>601</v>
      </c>
      <c r="D33" s="417">
        <f>'[3]Gross Plant'!$Q93</f>
        <v>23138.38</v>
      </c>
      <c r="E33" s="809">
        <v>0</v>
      </c>
      <c r="F33" s="809">
        <f t="shared" si="10"/>
        <v>23138.38</v>
      </c>
      <c r="G33" s="437">
        <f t="shared" si="3"/>
        <v>1</v>
      </c>
      <c r="H33" s="437">
        <f t="shared" si="3"/>
        <v>1</v>
      </c>
      <c r="I33" s="809">
        <f t="shared" si="8"/>
        <v>23138.38</v>
      </c>
      <c r="J33" s="106"/>
      <c r="K33" s="417">
        <f>'[3]Gross Plant'!$C93</f>
        <v>23138.38</v>
      </c>
      <c r="L33" s="438">
        <f t="shared" si="7"/>
        <v>1</v>
      </c>
      <c r="M33" s="438">
        <f t="shared" si="7"/>
        <v>1</v>
      </c>
      <c r="N33" s="390">
        <f t="shared" si="9"/>
        <v>23138.38</v>
      </c>
    </row>
    <row r="34" spans="1:15">
      <c r="A34" s="260">
        <f t="shared" si="1"/>
        <v>20</v>
      </c>
      <c r="B34" s="406">
        <v>35104</v>
      </c>
      <c r="C34" s="247" t="s">
        <v>602</v>
      </c>
      <c r="D34" s="417">
        <f>'[3]Gross Plant'!$Q94</f>
        <v>137442.53</v>
      </c>
      <c r="E34" s="809">
        <v>0</v>
      </c>
      <c r="F34" s="809">
        <f t="shared" si="10"/>
        <v>137442.53</v>
      </c>
      <c r="G34" s="437">
        <f t="shared" si="3"/>
        <v>1</v>
      </c>
      <c r="H34" s="437">
        <f t="shared" si="3"/>
        <v>1</v>
      </c>
      <c r="I34" s="809">
        <f t="shared" si="8"/>
        <v>137442.53</v>
      </c>
      <c r="J34" s="106"/>
      <c r="K34" s="417">
        <f>'[3]Gross Plant'!$C94</f>
        <v>137442.53</v>
      </c>
      <c r="L34" s="438">
        <f t="shared" si="7"/>
        <v>1</v>
      </c>
      <c r="M34" s="438">
        <f t="shared" si="7"/>
        <v>1</v>
      </c>
      <c r="N34" s="390">
        <f t="shared" si="9"/>
        <v>137442.53</v>
      </c>
    </row>
    <row r="35" spans="1:15">
      <c r="A35" s="260">
        <f t="shared" si="1"/>
        <v>21</v>
      </c>
      <c r="B35" s="406">
        <v>35200</v>
      </c>
      <c r="C35" s="247" t="s">
        <v>455</v>
      </c>
      <c r="D35" s="417">
        <f>'[3]Gross Plant'!$Q95</f>
        <v>7774826.5393562289</v>
      </c>
      <c r="E35" s="809">
        <v>0</v>
      </c>
      <c r="F35" s="809">
        <f t="shared" si="10"/>
        <v>7774826.5393562289</v>
      </c>
      <c r="G35" s="437">
        <f t="shared" si="3"/>
        <v>1</v>
      </c>
      <c r="H35" s="437">
        <f t="shared" si="3"/>
        <v>1</v>
      </c>
      <c r="I35" s="809">
        <f t="shared" si="8"/>
        <v>7774826.5393562289</v>
      </c>
      <c r="J35" s="106"/>
      <c r="K35" s="417">
        <f>'[3]Gross Plant'!$C95</f>
        <v>6629572.2265448561</v>
      </c>
      <c r="L35" s="438">
        <f t="shared" si="7"/>
        <v>1</v>
      </c>
      <c r="M35" s="438">
        <f t="shared" si="7"/>
        <v>1</v>
      </c>
      <c r="N35" s="390">
        <f t="shared" si="9"/>
        <v>6629572.2265448561</v>
      </c>
    </row>
    <row r="36" spans="1:15">
      <c r="A36" s="260">
        <f t="shared" si="1"/>
        <v>22</v>
      </c>
      <c r="B36" s="406">
        <v>35201</v>
      </c>
      <c r="C36" s="247" t="s">
        <v>603</v>
      </c>
      <c r="D36" s="417">
        <f>'[3]Gross Plant'!$Q96</f>
        <v>1699998.54</v>
      </c>
      <c r="E36" s="809">
        <v>0</v>
      </c>
      <c r="F36" s="809">
        <f t="shared" si="10"/>
        <v>1699998.54</v>
      </c>
      <c r="G36" s="437">
        <f t="shared" si="3"/>
        <v>1</v>
      </c>
      <c r="H36" s="437">
        <f t="shared" si="3"/>
        <v>1</v>
      </c>
      <c r="I36" s="809">
        <f t="shared" si="8"/>
        <v>1699998.54</v>
      </c>
      <c r="J36" s="106"/>
      <c r="K36" s="417">
        <f>'[3]Gross Plant'!$C96</f>
        <v>1699998.5399999993</v>
      </c>
      <c r="L36" s="438">
        <f t="shared" si="7"/>
        <v>1</v>
      </c>
      <c r="M36" s="438">
        <f t="shared" si="7"/>
        <v>1</v>
      </c>
      <c r="N36" s="390">
        <f t="shared" si="9"/>
        <v>1699998.5399999993</v>
      </c>
    </row>
    <row r="37" spans="1:15">
      <c r="A37" s="260">
        <f t="shared" si="1"/>
        <v>23</v>
      </c>
      <c r="B37" s="406">
        <v>35202</v>
      </c>
      <c r="C37" s="247" t="s">
        <v>604</v>
      </c>
      <c r="D37" s="417">
        <f>'[3]Gross Plant'!$Q97</f>
        <v>415818.86</v>
      </c>
      <c r="E37" s="809">
        <v>0</v>
      </c>
      <c r="F37" s="809">
        <f t="shared" si="10"/>
        <v>415818.86</v>
      </c>
      <c r="G37" s="437">
        <f t="shared" si="3"/>
        <v>1</v>
      </c>
      <c r="H37" s="437">
        <f t="shared" si="3"/>
        <v>1</v>
      </c>
      <c r="I37" s="809">
        <f t="shared" si="8"/>
        <v>415818.86</v>
      </c>
      <c r="J37" s="106"/>
      <c r="K37" s="417">
        <f>'[3]Gross Plant'!$C97</f>
        <v>419941.03538461548</v>
      </c>
      <c r="L37" s="438">
        <f t="shared" si="7"/>
        <v>1</v>
      </c>
      <c r="M37" s="438">
        <f t="shared" si="7"/>
        <v>1</v>
      </c>
      <c r="N37" s="390">
        <f t="shared" si="9"/>
        <v>419941.03538461548</v>
      </c>
    </row>
    <row r="38" spans="1:15">
      <c r="A38" s="260">
        <f t="shared" si="1"/>
        <v>24</v>
      </c>
      <c r="B38" s="406">
        <v>35203</v>
      </c>
      <c r="C38" s="247" t="s">
        <v>353</v>
      </c>
      <c r="D38" s="417">
        <f>'[3]Gross Plant'!$Q98</f>
        <v>1694832.96</v>
      </c>
      <c r="E38" s="809">
        <v>0</v>
      </c>
      <c r="F38" s="809">
        <f t="shared" si="10"/>
        <v>1694832.96</v>
      </c>
      <c r="G38" s="437">
        <f t="shared" si="3"/>
        <v>1</v>
      </c>
      <c r="H38" s="437">
        <f t="shared" si="3"/>
        <v>1</v>
      </c>
      <c r="I38" s="809">
        <f t="shared" si="8"/>
        <v>1694832.96</v>
      </c>
      <c r="J38" s="106"/>
      <c r="K38" s="417">
        <f>'[3]Gross Plant'!$C98</f>
        <v>1694832.9600000007</v>
      </c>
      <c r="L38" s="438">
        <f t="shared" si="7"/>
        <v>1</v>
      </c>
      <c r="M38" s="438">
        <f t="shared" si="7"/>
        <v>1</v>
      </c>
      <c r="N38" s="390">
        <f t="shared" si="9"/>
        <v>1694832.9600000007</v>
      </c>
    </row>
    <row r="39" spans="1:15">
      <c r="A39" s="260">
        <f t="shared" si="1"/>
        <v>25</v>
      </c>
      <c r="B39" s="406">
        <v>35210</v>
      </c>
      <c r="C39" s="247" t="s">
        <v>605</v>
      </c>
      <c r="D39" s="417">
        <f>'[3]Gross Plant'!$Q99</f>
        <v>178530.09</v>
      </c>
      <c r="E39" s="809">
        <v>0</v>
      </c>
      <c r="F39" s="809">
        <f t="shared" si="10"/>
        <v>178530.09</v>
      </c>
      <c r="G39" s="437">
        <f t="shared" si="3"/>
        <v>1</v>
      </c>
      <c r="H39" s="437">
        <f t="shared" si="3"/>
        <v>1</v>
      </c>
      <c r="I39" s="809">
        <f t="shared" si="8"/>
        <v>178530.09</v>
      </c>
      <c r="J39" s="106"/>
      <c r="K39" s="417">
        <f>'[3]Gross Plant'!$C99</f>
        <v>178530.09000000003</v>
      </c>
      <c r="L39" s="438">
        <f t="shared" si="7"/>
        <v>1</v>
      </c>
      <c r="M39" s="438">
        <f t="shared" si="7"/>
        <v>1</v>
      </c>
      <c r="N39" s="390">
        <f t="shared" si="9"/>
        <v>178530.09000000003</v>
      </c>
    </row>
    <row r="40" spans="1:15">
      <c r="A40" s="260">
        <f t="shared" si="1"/>
        <v>26</v>
      </c>
      <c r="B40" s="406">
        <v>35211</v>
      </c>
      <c r="C40" s="247" t="s">
        <v>606</v>
      </c>
      <c r="D40" s="417">
        <f>'[3]Gross Plant'!$Q100</f>
        <v>54614.27</v>
      </c>
      <c r="E40" s="809">
        <v>0</v>
      </c>
      <c r="F40" s="809">
        <f t="shared" si="10"/>
        <v>54614.27</v>
      </c>
      <c r="G40" s="437">
        <f t="shared" si="3"/>
        <v>1</v>
      </c>
      <c r="H40" s="437">
        <f t="shared" si="3"/>
        <v>1</v>
      </c>
      <c r="I40" s="809">
        <f t="shared" si="8"/>
        <v>54614.27</v>
      </c>
      <c r="J40" s="106"/>
      <c r="K40" s="417">
        <f>'[3]Gross Plant'!$C100</f>
        <v>54614.270000000011</v>
      </c>
      <c r="L40" s="438">
        <f t="shared" si="7"/>
        <v>1</v>
      </c>
      <c r="M40" s="438">
        <f t="shared" si="7"/>
        <v>1</v>
      </c>
      <c r="N40" s="390">
        <f t="shared" si="9"/>
        <v>54614.270000000011</v>
      </c>
    </row>
    <row r="41" spans="1:15">
      <c r="A41" s="260">
        <f t="shared" si="1"/>
        <v>27</v>
      </c>
      <c r="B41" s="406">
        <v>35301</v>
      </c>
      <c r="C41" s="60" t="s">
        <v>167</v>
      </c>
      <c r="D41" s="417">
        <f>'[3]Gross Plant'!$Q101</f>
        <v>178496.9</v>
      </c>
      <c r="E41" s="809">
        <v>0</v>
      </c>
      <c r="F41" s="809">
        <f t="shared" si="10"/>
        <v>178496.9</v>
      </c>
      <c r="G41" s="437">
        <f t="shared" si="3"/>
        <v>1</v>
      </c>
      <c r="H41" s="437">
        <f t="shared" si="3"/>
        <v>1</v>
      </c>
      <c r="I41" s="809">
        <f t="shared" si="8"/>
        <v>178496.9</v>
      </c>
      <c r="J41" s="106"/>
      <c r="K41" s="417">
        <f>'[3]Gross Plant'!$C101</f>
        <v>178496.89999999994</v>
      </c>
      <c r="L41" s="438">
        <f t="shared" si="7"/>
        <v>1</v>
      </c>
      <c r="M41" s="438">
        <f t="shared" si="7"/>
        <v>1</v>
      </c>
      <c r="N41" s="390">
        <f t="shared" si="9"/>
        <v>178496.89999999994</v>
      </c>
    </row>
    <row r="42" spans="1:15">
      <c r="A42" s="260">
        <f t="shared" si="1"/>
        <v>28</v>
      </c>
      <c r="B42" s="406">
        <v>35302</v>
      </c>
      <c r="C42" s="247" t="s">
        <v>612</v>
      </c>
      <c r="D42" s="417">
        <f>'[3]Gross Plant'!$Q102</f>
        <v>209458.21</v>
      </c>
      <c r="E42" s="809">
        <v>0</v>
      </c>
      <c r="F42" s="809">
        <f t="shared" si="10"/>
        <v>209458.21</v>
      </c>
      <c r="G42" s="437">
        <f t="shared" si="3"/>
        <v>1</v>
      </c>
      <c r="H42" s="437">
        <f t="shared" si="3"/>
        <v>1</v>
      </c>
      <c r="I42" s="809">
        <f t="shared" si="8"/>
        <v>209458.21</v>
      </c>
      <c r="J42" s="106"/>
      <c r="K42" s="417">
        <f>'[3]Gross Plant'!$C102</f>
        <v>209458.21</v>
      </c>
      <c r="L42" s="438">
        <f t="shared" si="7"/>
        <v>1</v>
      </c>
      <c r="M42" s="438">
        <f t="shared" si="7"/>
        <v>1</v>
      </c>
      <c r="N42" s="390">
        <f t="shared" si="9"/>
        <v>209458.21</v>
      </c>
    </row>
    <row r="43" spans="1:15">
      <c r="A43" s="260">
        <f t="shared" si="1"/>
        <v>29</v>
      </c>
      <c r="B43" s="406">
        <v>35400</v>
      </c>
      <c r="C43" s="247" t="s">
        <v>607</v>
      </c>
      <c r="D43" s="417">
        <f>'[3]Gross Plant'!$Q103</f>
        <v>923446.05</v>
      </c>
      <c r="E43" s="809">
        <v>0</v>
      </c>
      <c r="F43" s="809">
        <f t="shared" si="10"/>
        <v>923446.05</v>
      </c>
      <c r="G43" s="437">
        <f t="shared" si="3"/>
        <v>1</v>
      </c>
      <c r="H43" s="437">
        <f t="shared" si="3"/>
        <v>1</v>
      </c>
      <c r="I43" s="809">
        <f t="shared" si="8"/>
        <v>923446.05</v>
      </c>
      <c r="J43" s="106"/>
      <c r="K43" s="417">
        <f>'[3]Gross Plant'!$C103</f>
        <v>923446.05000000016</v>
      </c>
      <c r="L43" s="438">
        <f t="shared" si="7"/>
        <v>1</v>
      </c>
      <c r="M43" s="438">
        <f t="shared" si="7"/>
        <v>1</v>
      </c>
      <c r="N43" s="390">
        <f t="shared" si="9"/>
        <v>923446.05000000016</v>
      </c>
    </row>
    <row r="44" spans="1:15">
      <c r="A44" s="260">
        <f t="shared" si="1"/>
        <v>30</v>
      </c>
      <c r="B44" s="406">
        <v>35500</v>
      </c>
      <c r="C44" s="247" t="s">
        <v>1011</v>
      </c>
      <c r="D44" s="417">
        <f>'[3]Gross Plant'!$Q104</f>
        <v>240883.03</v>
      </c>
      <c r="E44" s="809">
        <v>0</v>
      </c>
      <c r="F44" s="809">
        <f t="shared" si="10"/>
        <v>240883.03</v>
      </c>
      <c r="G44" s="437">
        <f t="shared" si="3"/>
        <v>1</v>
      </c>
      <c r="H44" s="437">
        <f t="shared" si="3"/>
        <v>1</v>
      </c>
      <c r="I44" s="809">
        <f t="shared" si="8"/>
        <v>240883.03</v>
      </c>
      <c r="J44" s="106"/>
      <c r="K44" s="417">
        <f>'[3]Gross Plant'!$C104</f>
        <v>240883.02999999994</v>
      </c>
      <c r="L44" s="438">
        <f t="shared" si="7"/>
        <v>1</v>
      </c>
      <c r="M44" s="438">
        <f t="shared" si="7"/>
        <v>1</v>
      </c>
      <c r="N44" s="390">
        <f t="shared" si="9"/>
        <v>240883.02999999994</v>
      </c>
    </row>
    <row r="45" spans="1:15">
      <c r="A45" s="260">
        <f t="shared" si="1"/>
        <v>31</v>
      </c>
      <c r="B45" s="406">
        <v>35600</v>
      </c>
      <c r="C45" s="247" t="s">
        <v>1060</v>
      </c>
      <c r="D45" s="417">
        <f>'[3]Gross Plant'!$Q105</f>
        <v>414663.45</v>
      </c>
      <c r="E45" s="1137">
        <v>0</v>
      </c>
      <c r="F45" s="1137">
        <f t="shared" si="10"/>
        <v>414663.45</v>
      </c>
      <c r="G45" s="437">
        <f t="shared" ref="G45:H76" si="11">$G$16</f>
        <v>1</v>
      </c>
      <c r="H45" s="437">
        <f t="shared" si="11"/>
        <v>1</v>
      </c>
      <c r="I45" s="1138">
        <f t="shared" si="8"/>
        <v>414663.45</v>
      </c>
      <c r="J45" s="106"/>
      <c r="K45" s="417">
        <f>'[3]Gross Plant'!$C105</f>
        <v>414663.45000000013</v>
      </c>
      <c r="L45" s="438">
        <f t="shared" si="7"/>
        <v>1</v>
      </c>
      <c r="M45" s="438">
        <f t="shared" si="7"/>
        <v>1</v>
      </c>
      <c r="N45" s="393">
        <f t="shared" si="9"/>
        <v>414663.45000000013</v>
      </c>
    </row>
    <row r="46" spans="1:15">
      <c r="A46" s="260">
        <f t="shared" si="1"/>
        <v>32</v>
      </c>
      <c r="B46" s="405"/>
      <c r="C46" s="247"/>
      <c r="D46" s="812"/>
      <c r="E46" s="812"/>
      <c r="F46" s="812"/>
      <c r="G46" s="437"/>
      <c r="H46" s="437"/>
      <c r="I46" s="964"/>
      <c r="J46" s="106"/>
      <c r="K46" s="812"/>
      <c r="N46" s="789"/>
    </row>
    <row r="47" spans="1:15">
      <c r="A47" s="260">
        <f t="shared" si="1"/>
        <v>33</v>
      </c>
      <c r="B47" s="405"/>
      <c r="C47" s="247" t="s">
        <v>220</v>
      </c>
      <c r="D47" s="462">
        <f>SUM(D29:D46)</f>
        <v>14383135.569356229</v>
      </c>
      <c r="E47" s="462">
        <f>SUM(E29:E46)</f>
        <v>0</v>
      </c>
      <c r="F47" s="462">
        <f>SUM(F29:F46)</f>
        <v>14383135.569356229</v>
      </c>
      <c r="G47" s="437"/>
      <c r="H47" s="437"/>
      <c r="I47" s="462">
        <f>SUM(I29:I46)</f>
        <v>14383135.569356229</v>
      </c>
      <c r="J47" s="106"/>
      <c r="K47" s="462">
        <f>SUM(K29:K46)</f>
        <v>13242003.431929473</v>
      </c>
      <c r="N47" s="407">
        <f>SUM(N29:N46)</f>
        <v>13242003.431929473</v>
      </c>
      <c r="O47" s="771"/>
    </row>
    <row r="48" spans="1:15">
      <c r="A48" s="260">
        <f t="shared" si="1"/>
        <v>34</v>
      </c>
      <c r="B48" s="405"/>
      <c r="C48" s="247"/>
      <c r="D48" s="106"/>
      <c r="E48" s="106"/>
      <c r="F48" s="106"/>
      <c r="G48" s="437"/>
      <c r="H48" s="437"/>
      <c r="I48" s="462"/>
      <c r="J48" s="106"/>
      <c r="K48" s="106"/>
    </row>
    <row r="49" spans="1:14">
      <c r="A49" s="260">
        <f t="shared" si="1"/>
        <v>35</v>
      </c>
      <c r="B49" s="405"/>
      <c r="C49" s="17" t="s">
        <v>1012</v>
      </c>
      <c r="D49" s="106"/>
      <c r="E49" s="106"/>
      <c r="F49" s="106"/>
      <c r="G49" s="437"/>
      <c r="H49" s="437"/>
      <c r="I49" s="462"/>
      <c r="J49" s="106"/>
      <c r="K49" s="106"/>
    </row>
    <row r="50" spans="1:14">
      <c r="A50" s="260">
        <f t="shared" si="1"/>
        <v>36</v>
      </c>
      <c r="B50" s="406">
        <v>36510</v>
      </c>
      <c r="C50" s="247" t="s">
        <v>300</v>
      </c>
      <c r="D50" s="417">
        <f>'[3]Gross Plant'!$Q106</f>
        <v>26970.37</v>
      </c>
      <c r="E50" s="615">
        <v>0</v>
      </c>
      <c r="F50" s="462">
        <f>D50+E50</f>
        <v>26970.37</v>
      </c>
      <c r="G50" s="437">
        <f t="shared" si="11"/>
        <v>1</v>
      </c>
      <c r="H50" s="437">
        <f t="shared" si="11"/>
        <v>1</v>
      </c>
      <c r="I50" s="462">
        <f>F50*G50*H50</f>
        <v>26970.37</v>
      </c>
      <c r="J50" s="106"/>
      <c r="K50" s="417">
        <f>'[3]Gross Plant'!$C106</f>
        <v>26970.37</v>
      </c>
      <c r="L50" s="438">
        <f t="shared" ref="L50:M57" si="12">$G$16</f>
        <v>1</v>
      </c>
      <c r="M50" s="438">
        <f t="shared" si="12"/>
        <v>1</v>
      </c>
      <c r="N50" s="407">
        <f>K50*L50*M50</f>
        <v>26970.37</v>
      </c>
    </row>
    <row r="51" spans="1:14">
      <c r="A51" s="260">
        <f t="shared" si="1"/>
        <v>37</v>
      </c>
      <c r="B51" s="406">
        <v>36520</v>
      </c>
      <c r="C51" s="247" t="s">
        <v>809</v>
      </c>
      <c r="D51" s="417">
        <f>'[3]Gross Plant'!$Q107</f>
        <v>867772</v>
      </c>
      <c r="E51" s="809">
        <v>0</v>
      </c>
      <c r="F51" s="809">
        <f>D51+E51</f>
        <v>867772</v>
      </c>
      <c r="G51" s="437">
        <f t="shared" si="11"/>
        <v>1</v>
      </c>
      <c r="H51" s="437">
        <f t="shared" si="11"/>
        <v>1</v>
      </c>
      <c r="I51" s="809">
        <f t="shared" ref="I51:I57" si="13">F51*G51*H51</f>
        <v>867772</v>
      </c>
      <c r="J51" s="106"/>
      <c r="K51" s="417">
        <f>'[3]Gross Plant'!$C107</f>
        <v>867772</v>
      </c>
      <c r="L51" s="438">
        <f t="shared" si="12"/>
        <v>1</v>
      </c>
      <c r="M51" s="438">
        <f t="shared" si="12"/>
        <v>1</v>
      </c>
      <c r="N51" s="390">
        <f t="shared" ref="N51:N57" si="14">K51*L51*M51</f>
        <v>867772</v>
      </c>
    </row>
    <row r="52" spans="1:14">
      <c r="A52" s="260">
        <f t="shared" si="1"/>
        <v>38</v>
      </c>
      <c r="B52" s="406">
        <v>36602</v>
      </c>
      <c r="C52" s="247" t="s">
        <v>874</v>
      </c>
      <c r="D52" s="417">
        <f>'[3]Gross Plant'!$Q108</f>
        <v>49001.72</v>
      </c>
      <c r="E52" s="809">
        <v>0</v>
      </c>
      <c r="F52" s="809">
        <f t="shared" ref="F52:F57" si="15">D52+E52</f>
        <v>49001.72</v>
      </c>
      <c r="G52" s="437">
        <f t="shared" si="11"/>
        <v>1</v>
      </c>
      <c r="H52" s="437">
        <f t="shared" si="11"/>
        <v>1</v>
      </c>
      <c r="I52" s="809">
        <f t="shared" si="13"/>
        <v>49001.72</v>
      </c>
      <c r="J52" s="106"/>
      <c r="K52" s="417">
        <f>'[3]Gross Plant'!$C108</f>
        <v>49001.719999999987</v>
      </c>
      <c r="L52" s="438">
        <f t="shared" si="12"/>
        <v>1</v>
      </c>
      <c r="M52" s="438">
        <f t="shared" si="12"/>
        <v>1</v>
      </c>
      <c r="N52" s="390">
        <f t="shared" si="14"/>
        <v>49001.719999999987</v>
      </c>
    </row>
    <row r="53" spans="1:14">
      <c r="A53" s="260">
        <f t="shared" si="1"/>
        <v>39</v>
      </c>
      <c r="B53" s="406">
        <v>36603</v>
      </c>
      <c r="C53" s="247" t="s">
        <v>1013</v>
      </c>
      <c r="D53" s="417">
        <f>'[3]Gross Plant'!$Q109</f>
        <v>60826.29</v>
      </c>
      <c r="E53" s="809">
        <v>0</v>
      </c>
      <c r="F53" s="809">
        <f t="shared" si="15"/>
        <v>60826.29</v>
      </c>
      <c r="G53" s="437">
        <f t="shared" si="11"/>
        <v>1</v>
      </c>
      <c r="H53" s="437">
        <f t="shared" si="11"/>
        <v>1</v>
      </c>
      <c r="I53" s="809">
        <f t="shared" si="13"/>
        <v>60826.29</v>
      </c>
      <c r="J53" s="106"/>
      <c r="K53" s="417">
        <f>'[3]Gross Plant'!$C109</f>
        <v>60826.290000000008</v>
      </c>
      <c r="L53" s="438">
        <f t="shared" si="12"/>
        <v>1</v>
      </c>
      <c r="M53" s="438">
        <f t="shared" si="12"/>
        <v>1</v>
      </c>
      <c r="N53" s="390">
        <f t="shared" si="14"/>
        <v>60826.290000000008</v>
      </c>
    </row>
    <row r="54" spans="1:14">
      <c r="A54" s="260">
        <f t="shared" si="1"/>
        <v>40</v>
      </c>
      <c r="B54" s="406">
        <v>36700</v>
      </c>
      <c r="C54" s="247" t="s">
        <v>861</v>
      </c>
      <c r="D54" s="417">
        <f>'[3]Gross Plant'!$Q110</f>
        <v>185508.8</v>
      </c>
      <c r="E54" s="809">
        <v>0</v>
      </c>
      <c r="F54" s="809">
        <f t="shared" si="15"/>
        <v>185508.8</v>
      </c>
      <c r="G54" s="437">
        <f t="shared" si="11"/>
        <v>1</v>
      </c>
      <c r="H54" s="437">
        <f t="shared" si="11"/>
        <v>1</v>
      </c>
      <c r="I54" s="809">
        <f t="shared" si="13"/>
        <v>185508.8</v>
      </c>
      <c r="J54" s="106"/>
      <c r="K54" s="417">
        <f>'[3]Gross Plant'!$C110</f>
        <v>185508.8</v>
      </c>
      <c r="L54" s="438">
        <f t="shared" si="12"/>
        <v>1</v>
      </c>
      <c r="M54" s="438">
        <f t="shared" si="12"/>
        <v>1</v>
      </c>
      <c r="N54" s="390">
        <f t="shared" si="14"/>
        <v>185508.8</v>
      </c>
    </row>
    <row r="55" spans="1:14">
      <c r="A55" s="260">
        <f t="shared" si="1"/>
        <v>41</v>
      </c>
      <c r="B55" s="406">
        <v>36701</v>
      </c>
      <c r="C55" s="247" t="s">
        <v>16</v>
      </c>
      <c r="D55" s="417">
        <f>'[3]Gross Plant'!$Q111</f>
        <v>27762017.09</v>
      </c>
      <c r="E55" s="809">
        <v>0</v>
      </c>
      <c r="F55" s="809">
        <f t="shared" si="15"/>
        <v>27762017.09</v>
      </c>
      <c r="G55" s="437">
        <f t="shared" si="11"/>
        <v>1</v>
      </c>
      <c r="H55" s="437">
        <f t="shared" si="11"/>
        <v>1</v>
      </c>
      <c r="I55" s="809">
        <f t="shared" si="13"/>
        <v>27762017.09</v>
      </c>
      <c r="J55" s="106"/>
      <c r="K55" s="417">
        <f>'[3]Gross Plant'!$C111</f>
        <v>27762017.089999992</v>
      </c>
      <c r="L55" s="438">
        <f t="shared" si="12"/>
        <v>1</v>
      </c>
      <c r="M55" s="438">
        <f t="shared" si="12"/>
        <v>1</v>
      </c>
      <c r="N55" s="390">
        <f t="shared" si="14"/>
        <v>27762017.089999992</v>
      </c>
    </row>
    <row r="56" spans="1:14">
      <c r="A56" s="260">
        <f t="shared" si="1"/>
        <v>42</v>
      </c>
      <c r="B56" s="406">
        <v>36900</v>
      </c>
      <c r="C56" s="247" t="s">
        <v>1014</v>
      </c>
      <c r="D56" s="417">
        <f>'[3]Gross Plant'!$Q112</f>
        <v>615021.88</v>
      </c>
      <c r="E56" s="809">
        <v>0</v>
      </c>
      <c r="F56" s="809">
        <f t="shared" si="15"/>
        <v>615021.88</v>
      </c>
      <c r="G56" s="437">
        <f t="shared" si="11"/>
        <v>1</v>
      </c>
      <c r="H56" s="437">
        <f t="shared" si="11"/>
        <v>1</v>
      </c>
      <c r="I56" s="809">
        <f t="shared" si="13"/>
        <v>615021.88</v>
      </c>
      <c r="J56" s="106"/>
      <c r="K56" s="417">
        <f>'[3]Gross Plant'!$C112</f>
        <v>615021.88</v>
      </c>
      <c r="L56" s="438">
        <f t="shared" si="12"/>
        <v>1</v>
      </c>
      <c r="M56" s="438">
        <f t="shared" si="12"/>
        <v>1</v>
      </c>
      <c r="N56" s="390">
        <f t="shared" si="14"/>
        <v>615021.88</v>
      </c>
    </row>
    <row r="57" spans="1:14">
      <c r="A57" s="260">
        <f t="shared" si="1"/>
        <v>43</v>
      </c>
      <c r="B57" s="406">
        <v>36901</v>
      </c>
      <c r="C57" s="247" t="s">
        <v>1014</v>
      </c>
      <c r="D57" s="417">
        <f>'[3]Gross Plant'!$Q113</f>
        <v>2269871.41</v>
      </c>
      <c r="E57" s="1137">
        <v>0</v>
      </c>
      <c r="F57" s="1137">
        <f t="shared" si="15"/>
        <v>2269871.41</v>
      </c>
      <c r="G57" s="437">
        <f t="shared" si="11"/>
        <v>1</v>
      </c>
      <c r="H57" s="437">
        <f t="shared" si="11"/>
        <v>1</v>
      </c>
      <c r="I57" s="1138">
        <f t="shared" si="13"/>
        <v>2269871.41</v>
      </c>
      <c r="J57" s="106"/>
      <c r="K57" s="417">
        <f>'[3]Gross Plant'!$C113</f>
        <v>2269871.41</v>
      </c>
      <c r="L57" s="438">
        <f t="shared" si="12"/>
        <v>1</v>
      </c>
      <c r="M57" s="438">
        <f t="shared" si="12"/>
        <v>1</v>
      </c>
      <c r="N57" s="393">
        <f t="shared" si="14"/>
        <v>2269871.41</v>
      </c>
    </row>
    <row r="58" spans="1:14">
      <c r="A58" s="260">
        <f t="shared" si="1"/>
        <v>44</v>
      </c>
      <c r="B58" s="405"/>
      <c r="C58" s="247"/>
      <c r="D58" s="812"/>
      <c r="E58" s="812"/>
      <c r="F58" s="812"/>
      <c r="G58" s="437"/>
      <c r="H58" s="437"/>
      <c r="I58" s="964"/>
      <c r="J58" s="106"/>
      <c r="K58" s="964"/>
      <c r="N58" s="789"/>
    </row>
    <row r="59" spans="1:14">
      <c r="A59" s="260">
        <f t="shared" si="1"/>
        <v>45</v>
      </c>
      <c r="B59" s="405"/>
      <c r="C59" s="247" t="s">
        <v>1404</v>
      </c>
      <c r="D59" s="462">
        <f>SUM(D50:D58)</f>
        <v>31836989.559999999</v>
      </c>
      <c r="E59" s="462">
        <f>SUM(E50:E58)</f>
        <v>0</v>
      </c>
      <c r="F59" s="462">
        <f>SUM(F50:F58)</f>
        <v>31836989.559999999</v>
      </c>
      <c r="G59" s="437"/>
      <c r="H59" s="437"/>
      <c r="I59" s="462">
        <f>SUM(I50:I58)</f>
        <v>31836989.559999999</v>
      </c>
      <c r="J59" s="106"/>
      <c r="K59" s="462">
        <f>SUM(K50:K58)</f>
        <v>31836989.559999991</v>
      </c>
      <c r="N59" s="407">
        <f>SUM(N50:N58)</f>
        <v>31836989.559999991</v>
      </c>
    </row>
    <row r="60" spans="1:14">
      <c r="A60" s="260">
        <f t="shared" si="1"/>
        <v>46</v>
      </c>
      <c r="B60" s="405"/>
      <c r="C60" s="60"/>
      <c r="D60" s="106"/>
      <c r="E60" s="106"/>
      <c r="F60" s="106"/>
      <c r="G60" s="437"/>
      <c r="H60" s="437"/>
      <c r="I60" s="462"/>
      <c r="J60" s="106"/>
      <c r="K60" s="462"/>
    </row>
    <row r="61" spans="1:14">
      <c r="A61" s="260">
        <f t="shared" si="1"/>
        <v>47</v>
      </c>
      <c r="B61" s="405"/>
      <c r="C61" s="17" t="s">
        <v>307</v>
      </c>
      <c r="D61" s="106"/>
      <c r="E61" s="106"/>
      <c r="F61" s="106"/>
      <c r="G61" s="437"/>
      <c r="H61" s="437"/>
      <c r="I61" s="462"/>
      <c r="J61" s="106"/>
      <c r="K61" s="462"/>
    </row>
    <row r="62" spans="1:14">
      <c r="A62" s="260">
        <f t="shared" si="1"/>
        <v>48</v>
      </c>
      <c r="B62" s="406">
        <v>37400</v>
      </c>
      <c r="C62" s="247" t="s">
        <v>1168</v>
      </c>
      <c r="D62" s="417">
        <f>'[3]Gross Plant'!$Q114</f>
        <v>531166.79</v>
      </c>
      <c r="E62" s="615">
        <v>0</v>
      </c>
      <c r="F62" s="462">
        <f>D62+E62</f>
        <v>531166.79</v>
      </c>
      <c r="G62" s="437">
        <f t="shared" si="11"/>
        <v>1</v>
      </c>
      <c r="H62" s="437">
        <f t="shared" si="11"/>
        <v>1</v>
      </c>
      <c r="I62" s="462">
        <f>F62*G62*H62</f>
        <v>531166.79</v>
      </c>
      <c r="J62" s="106"/>
      <c r="K62" s="417">
        <f>'[3]Gross Plant'!$C114</f>
        <v>531166.79</v>
      </c>
      <c r="L62" s="438">
        <f t="shared" ref="L62:M81" si="16">$G$16</f>
        <v>1</v>
      </c>
      <c r="M62" s="438">
        <f t="shared" si="16"/>
        <v>1</v>
      </c>
      <c r="N62" s="407">
        <f>K62*L62*M62</f>
        <v>531166.79</v>
      </c>
    </row>
    <row r="63" spans="1:14">
      <c r="A63" s="260">
        <f t="shared" si="1"/>
        <v>49</v>
      </c>
      <c r="B63" s="406">
        <v>37401</v>
      </c>
      <c r="C63" s="247" t="s">
        <v>300</v>
      </c>
      <c r="D63" s="417">
        <f>'[3]Gross Plant'!$Q115</f>
        <v>37326.42</v>
      </c>
      <c r="E63" s="809">
        <v>0</v>
      </c>
      <c r="F63" s="809">
        <f>D63+E63</f>
        <v>37326.42</v>
      </c>
      <c r="G63" s="437">
        <f t="shared" si="11"/>
        <v>1</v>
      </c>
      <c r="H63" s="437">
        <f t="shared" si="11"/>
        <v>1</v>
      </c>
      <c r="I63" s="809">
        <f t="shared" ref="I63:I81" si="17">F63*G63*H63</f>
        <v>37326.42</v>
      </c>
      <c r="J63" s="809"/>
      <c r="K63" s="417">
        <f>'[3]Gross Plant'!$C115</f>
        <v>37326.419999999991</v>
      </c>
      <c r="L63" s="438">
        <f t="shared" si="16"/>
        <v>1</v>
      </c>
      <c r="M63" s="438">
        <f t="shared" si="16"/>
        <v>1</v>
      </c>
      <c r="N63" s="390">
        <f t="shared" ref="N63:N81" si="18">K63*L63*M63</f>
        <v>37326.419999999991</v>
      </c>
    </row>
    <row r="64" spans="1:14">
      <c r="A64" s="260">
        <f t="shared" si="1"/>
        <v>50</v>
      </c>
      <c r="B64" s="406">
        <v>37402</v>
      </c>
      <c r="C64" s="247" t="s">
        <v>1018</v>
      </c>
      <c r="D64" s="417">
        <f>'[3]Gross Plant'!$Q116</f>
        <v>1499591.2999439908</v>
      </c>
      <c r="E64" s="809">
        <v>0</v>
      </c>
      <c r="F64" s="809">
        <f t="shared" ref="F64:F81" si="19">D64+E64</f>
        <v>1499591.2999439908</v>
      </c>
      <c r="G64" s="437">
        <f t="shared" si="11"/>
        <v>1</v>
      </c>
      <c r="H64" s="437">
        <f t="shared" si="11"/>
        <v>1</v>
      </c>
      <c r="I64" s="809">
        <f t="shared" si="17"/>
        <v>1499591.2999439908</v>
      </c>
      <c r="J64" s="809"/>
      <c r="K64" s="417">
        <f>'[3]Gross Plant'!$C116</f>
        <v>1491896.4989431852</v>
      </c>
      <c r="L64" s="438">
        <f t="shared" si="16"/>
        <v>1</v>
      </c>
      <c r="M64" s="438">
        <f t="shared" si="16"/>
        <v>1</v>
      </c>
      <c r="N64" s="390">
        <f t="shared" si="18"/>
        <v>1491896.4989431852</v>
      </c>
    </row>
    <row r="65" spans="1:17">
      <c r="A65" s="260">
        <f t="shared" si="1"/>
        <v>51</v>
      </c>
      <c r="B65" s="406">
        <v>37403</v>
      </c>
      <c r="C65" s="247" t="s">
        <v>1015</v>
      </c>
      <c r="D65" s="417">
        <f>'[3]Gross Plant'!$Q117</f>
        <v>2783.89</v>
      </c>
      <c r="E65" s="809">
        <v>0</v>
      </c>
      <c r="F65" s="809">
        <f t="shared" si="19"/>
        <v>2783.89</v>
      </c>
      <c r="G65" s="437">
        <f t="shared" si="11"/>
        <v>1</v>
      </c>
      <c r="H65" s="437">
        <f t="shared" si="11"/>
        <v>1</v>
      </c>
      <c r="I65" s="809">
        <f t="shared" si="17"/>
        <v>2783.89</v>
      </c>
      <c r="J65" s="809"/>
      <c r="K65" s="417">
        <f>'[3]Gross Plant'!$C117</f>
        <v>2783.89</v>
      </c>
      <c r="L65" s="438">
        <f t="shared" si="16"/>
        <v>1</v>
      </c>
      <c r="M65" s="438">
        <f t="shared" si="16"/>
        <v>1</v>
      </c>
      <c r="N65" s="390">
        <f t="shared" si="18"/>
        <v>2783.89</v>
      </c>
    </row>
    <row r="66" spans="1:17">
      <c r="A66" s="260">
        <f t="shared" si="1"/>
        <v>52</v>
      </c>
      <c r="B66" s="406">
        <v>37500</v>
      </c>
      <c r="C66" s="247" t="s">
        <v>874</v>
      </c>
      <c r="D66" s="417">
        <f>'[3]Gross Plant'!$Q118</f>
        <v>336167.54</v>
      </c>
      <c r="E66" s="809">
        <v>0</v>
      </c>
      <c r="F66" s="809">
        <f t="shared" si="19"/>
        <v>336167.54</v>
      </c>
      <c r="G66" s="437">
        <f t="shared" si="11"/>
        <v>1</v>
      </c>
      <c r="H66" s="437">
        <f t="shared" si="11"/>
        <v>1</v>
      </c>
      <c r="I66" s="809">
        <f t="shared" si="17"/>
        <v>336167.54</v>
      </c>
      <c r="J66" s="809"/>
      <c r="K66" s="417">
        <f>'[3]Gross Plant'!$C118</f>
        <v>336167.54</v>
      </c>
      <c r="L66" s="438">
        <f t="shared" si="16"/>
        <v>1</v>
      </c>
      <c r="M66" s="438">
        <f t="shared" si="16"/>
        <v>1</v>
      </c>
      <c r="N66" s="390">
        <f t="shared" si="18"/>
        <v>336167.54</v>
      </c>
    </row>
    <row r="67" spans="1:17">
      <c r="A67" s="260">
        <f t="shared" si="1"/>
        <v>53</v>
      </c>
      <c r="B67" s="406">
        <v>37501</v>
      </c>
      <c r="C67" s="247" t="s">
        <v>1016</v>
      </c>
      <c r="D67" s="417">
        <f>'[3]Gross Plant'!$Q119</f>
        <v>99818.13</v>
      </c>
      <c r="E67" s="809">
        <v>0</v>
      </c>
      <c r="F67" s="809">
        <f t="shared" si="19"/>
        <v>99818.13</v>
      </c>
      <c r="G67" s="437">
        <f t="shared" si="11"/>
        <v>1</v>
      </c>
      <c r="H67" s="437">
        <f t="shared" si="11"/>
        <v>1</v>
      </c>
      <c r="I67" s="809">
        <f t="shared" si="17"/>
        <v>99818.13</v>
      </c>
      <c r="J67" s="809"/>
      <c r="K67" s="417">
        <f>'[3]Gross Plant'!$C119</f>
        <v>99818.12999999999</v>
      </c>
      <c r="L67" s="438">
        <f t="shared" si="16"/>
        <v>1</v>
      </c>
      <c r="M67" s="438">
        <f t="shared" si="16"/>
        <v>1</v>
      </c>
      <c r="N67" s="390">
        <f t="shared" si="18"/>
        <v>99818.12999999999</v>
      </c>
    </row>
    <row r="68" spans="1:17">
      <c r="A68" s="260">
        <f t="shared" si="1"/>
        <v>54</v>
      </c>
      <c r="B68" s="406">
        <v>37502</v>
      </c>
      <c r="C68" s="247" t="s">
        <v>1018</v>
      </c>
      <c r="D68" s="417">
        <f>'[3]Gross Plant'!$Q120</f>
        <v>46264.19</v>
      </c>
      <c r="E68" s="809">
        <v>0</v>
      </c>
      <c r="F68" s="809">
        <f t="shared" si="19"/>
        <v>46264.19</v>
      </c>
      <c r="G68" s="437">
        <f t="shared" si="11"/>
        <v>1</v>
      </c>
      <c r="H68" s="437">
        <f t="shared" si="11"/>
        <v>1</v>
      </c>
      <c r="I68" s="809">
        <f t="shared" si="17"/>
        <v>46264.19</v>
      </c>
      <c r="J68" s="809"/>
      <c r="K68" s="417">
        <f>'[3]Gross Plant'!$C120</f>
        <v>46264.189999999995</v>
      </c>
      <c r="L68" s="438">
        <f t="shared" si="16"/>
        <v>1</v>
      </c>
      <c r="M68" s="438">
        <f t="shared" si="16"/>
        <v>1</v>
      </c>
      <c r="N68" s="390">
        <f t="shared" si="18"/>
        <v>46264.189999999995</v>
      </c>
    </row>
    <row r="69" spans="1:17">
      <c r="A69" s="260">
        <f t="shared" si="1"/>
        <v>55</v>
      </c>
      <c r="B69" s="406">
        <v>37503</v>
      </c>
      <c r="C69" s="247" t="s">
        <v>1017</v>
      </c>
      <c r="D69" s="417">
        <f>'[3]Gross Plant'!$Q121</f>
        <v>4005.08</v>
      </c>
      <c r="E69" s="809">
        <v>0</v>
      </c>
      <c r="F69" s="809">
        <f t="shared" si="19"/>
        <v>4005.08</v>
      </c>
      <c r="G69" s="437">
        <f t="shared" si="11"/>
        <v>1</v>
      </c>
      <c r="H69" s="437">
        <f t="shared" si="11"/>
        <v>1</v>
      </c>
      <c r="I69" s="809">
        <f t="shared" si="17"/>
        <v>4005.08</v>
      </c>
      <c r="J69" s="809"/>
      <c r="K69" s="417">
        <f>'[3]Gross Plant'!$C121</f>
        <v>4005.0800000000013</v>
      </c>
      <c r="L69" s="438">
        <f t="shared" si="16"/>
        <v>1</v>
      </c>
      <c r="M69" s="438">
        <f t="shared" si="16"/>
        <v>1</v>
      </c>
      <c r="N69" s="390">
        <f t="shared" si="18"/>
        <v>4005.0800000000013</v>
      </c>
    </row>
    <row r="70" spans="1:17">
      <c r="A70" s="260">
        <f t="shared" si="1"/>
        <v>56</v>
      </c>
      <c r="B70" s="406">
        <v>37600</v>
      </c>
      <c r="C70" s="247" t="s">
        <v>861</v>
      </c>
      <c r="D70" s="417">
        <f>'[3]Gross Plant'!$Q122</f>
        <v>20373422.796801124</v>
      </c>
      <c r="E70" s="809">
        <v>0</v>
      </c>
      <c r="F70" s="809">
        <f t="shared" si="19"/>
        <v>20373422.796801124</v>
      </c>
      <c r="G70" s="437">
        <f t="shared" si="11"/>
        <v>1</v>
      </c>
      <c r="H70" s="437">
        <f t="shared" si="11"/>
        <v>1</v>
      </c>
      <c r="I70" s="809">
        <f t="shared" si="17"/>
        <v>20373422.796801124</v>
      </c>
      <c r="J70" s="809"/>
      <c r="K70" s="417">
        <f>'[3]Gross Plant'!$C122</f>
        <v>20688258.829302907</v>
      </c>
      <c r="L70" s="438">
        <f t="shared" si="16"/>
        <v>1</v>
      </c>
      <c r="M70" s="438">
        <f t="shared" si="16"/>
        <v>1</v>
      </c>
      <c r="N70" s="390">
        <f t="shared" si="18"/>
        <v>20688258.829302907</v>
      </c>
    </row>
    <row r="71" spans="1:17">
      <c r="A71" s="260">
        <f t="shared" si="1"/>
        <v>57</v>
      </c>
      <c r="B71" s="406">
        <v>37601</v>
      </c>
      <c r="C71" s="247" t="s">
        <v>16</v>
      </c>
      <c r="D71" s="417">
        <f>'[3]Gross Plant'!$Q123</f>
        <v>105603258.34590217</v>
      </c>
      <c r="E71" s="809">
        <v>0</v>
      </c>
      <c r="F71" s="809">
        <f t="shared" si="19"/>
        <v>105603258.34590217</v>
      </c>
      <c r="G71" s="437">
        <f t="shared" si="11"/>
        <v>1</v>
      </c>
      <c r="H71" s="437">
        <f t="shared" si="11"/>
        <v>1</v>
      </c>
      <c r="I71" s="809">
        <f t="shared" si="17"/>
        <v>105603258.34590217</v>
      </c>
      <c r="J71" s="809"/>
      <c r="K71" s="417">
        <f>'[3]Gross Plant'!$C123</f>
        <v>99902993.879357651</v>
      </c>
      <c r="L71" s="438">
        <f t="shared" si="16"/>
        <v>1</v>
      </c>
      <c r="M71" s="438">
        <f t="shared" si="16"/>
        <v>1</v>
      </c>
      <c r="N71" s="390">
        <f t="shared" si="18"/>
        <v>99902993.879357651</v>
      </c>
    </row>
    <row r="72" spans="1:17">
      <c r="A72" s="260">
        <f t="shared" si="1"/>
        <v>58</v>
      </c>
      <c r="B72" s="406">
        <v>37602</v>
      </c>
      <c r="C72" s="247" t="s">
        <v>862</v>
      </c>
      <c r="D72" s="417">
        <f>'[3]Gross Plant'!$Q124</f>
        <v>83638708.033722177</v>
      </c>
      <c r="E72" s="809">
        <v>0</v>
      </c>
      <c r="F72" s="809">
        <f t="shared" si="19"/>
        <v>83638708.033722177</v>
      </c>
      <c r="G72" s="437">
        <f t="shared" si="11"/>
        <v>1</v>
      </c>
      <c r="H72" s="437">
        <f t="shared" si="11"/>
        <v>1</v>
      </c>
      <c r="I72" s="809">
        <f t="shared" si="17"/>
        <v>83638708.033722177</v>
      </c>
      <c r="J72" s="809"/>
      <c r="K72" s="417">
        <f>'[3]Gross Plant'!$C124</f>
        <v>73282774.581818685</v>
      </c>
      <c r="L72" s="438">
        <f t="shared" si="16"/>
        <v>1</v>
      </c>
      <c r="M72" s="438">
        <f t="shared" si="16"/>
        <v>1</v>
      </c>
      <c r="N72" s="390">
        <f t="shared" si="18"/>
        <v>73282774.581818685</v>
      </c>
      <c r="Q72" s="771"/>
    </row>
    <row r="73" spans="1:17">
      <c r="A73" s="260">
        <f t="shared" si="1"/>
        <v>59</v>
      </c>
      <c r="B73" s="406">
        <v>37800</v>
      </c>
      <c r="C73" s="247" t="s">
        <v>234</v>
      </c>
      <c r="D73" s="417">
        <f>'[3]Gross Plant'!$Q125</f>
        <v>6962214.6654716767</v>
      </c>
      <c r="E73" s="809">
        <v>0</v>
      </c>
      <c r="F73" s="809">
        <f t="shared" si="19"/>
        <v>6962214.6654716767</v>
      </c>
      <c r="G73" s="437">
        <f t="shared" si="11"/>
        <v>1</v>
      </c>
      <c r="H73" s="437">
        <f t="shared" si="11"/>
        <v>1</v>
      </c>
      <c r="I73" s="809">
        <f t="shared" si="17"/>
        <v>6962214.6654716767</v>
      </c>
      <c r="J73" s="809"/>
      <c r="K73" s="417">
        <f>'[3]Gross Plant'!$C125</f>
        <v>6546839.3733374476</v>
      </c>
      <c r="L73" s="438">
        <f t="shared" si="16"/>
        <v>1</v>
      </c>
      <c r="M73" s="438">
        <f t="shared" si="16"/>
        <v>1</v>
      </c>
      <c r="N73" s="390">
        <f t="shared" si="18"/>
        <v>6546839.3733374476</v>
      </c>
    </row>
    <row r="74" spans="1:17">
      <c r="A74" s="260">
        <f t="shared" si="1"/>
        <v>60</v>
      </c>
      <c r="B74" s="406">
        <v>37900</v>
      </c>
      <c r="C74" s="247" t="s">
        <v>1211</v>
      </c>
      <c r="D74" s="417">
        <f>'[3]Gross Plant'!$Q126</f>
        <v>2977136.3315375461</v>
      </c>
      <c r="E74" s="809">
        <v>0</v>
      </c>
      <c r="F74" s="809">
        <f t="shared" si="19"/>
        <v>2977136.3315375461</v>
      </c>
      <c r="G74" s="437">
        <f t="shared" si="11"/>
        <v>1</v>
      </c>
      <c r="H74" s="437">
        <f t="shared" si="11"/>
        <v>1</v>
      </c>
      <c r="I74" s="809">
        <f t="shared" si="17"/>
        <v>2977136.3315375461</v>
      </c>
      <c r="J74" s="809"/>
      <c r="K74" s="417">
        <f>'[3]Gross Plant'!$C126</f>
        <v>2836568.7210598411</v>
      </c>
      <c r="L74" s="438">
        <f t="shared" si="16"/>
        <v>1</v>
      </c>
      <c r="M74" s="438">
        <f t="shared" si="16"/>
        <v>1</v>
      </c>
      <c r="N74" s="390">
        <f t="shared" si="18"/>
        <v>2836568.7210598411</v>
      </c>
    </row>
    <row r="75" spans="1:17">
      <c r="A75" s="260">
        <f t="shared" si="1"/>
        <v>61</v>
      </c>
      <c r="B75" s="406">
        <v>37905</v>
      </c>
      <c r="C75" s="247" t="s">
        <v>742</v>
      </c>
      <c r="D75" s="417">
        <f>'[3]Gross Plant'!$Q127</f>
        <v>1393820.61</v>
      </c>
      <c r="E75" s="809">
        <v>0</v>
      </c>
      <c r="F75" s="809">
        <f t="shared" si="19"/>
        <v>1393820.61</v>
      </c>
      <c r="G75" s="437">
        <f t="shared" si="11"/>
        <v>1</v>
      </c>
      <c r="H75" s="437">
        <f t="shared" si="11"/>
        <v>1</v>
      </c>
      <c r="I75" s="809">
        <f t="shared" si="17"/>
        <v>1393820.61</v>
      </c>
      <c r="J75" s="809"/>
      <c r="K75" s="417">
        <f>'[3]Gross Plant'!$C127</f>
        <v>1393820.6099999999</v>
      </c>
      <c r="L75" s="438">
        <f t="shared" si="16"/>
        <v>1</v>
      </c>
      <c r="M75" s="438">
        <f t="shared" si="16"/>
        <v>1</v>
      </c>
      <c r="N75" s="390">
        <f t="shared" si="18"/>
        <v>1393820.6099999999</v>
      </c>
    </row>
    <row r="76" spans="1:17">
      <c r="A76" s="260">
        <f t="shared" si="1"/>
        <v>62</v>
      </c>
      <c r="B76" s="406">
        <v>38000</v>
      </c>
      <c r="C76" s="247" t="s">
        <v>1072</v>
      </c>
      <c r="D76" s="417">
        <f>'[3]Gross Plant'!$Q128</f>
        <v>111917612.03268524</v>
      </c>
      <c r="E76" s="809">
        <v>0</v>
      </c>
      <c r="F76" s="809">
        <f t="shared" si="19"/>
        <v>111917612.03268524</v>
      </c>
      <c r="G76" s="437">
        <f t="shared" si="11"/>
        <v>1</v>
      </c>
      <c r="H76" s="437">
        <f t="shared" si="11"/>
        <v>1</v>
      </c>
      <c r="I76" s="809">
        <f t="shared" si="17"/>
        <v>111917612.03268524</v>
      </c>
      <c r="J76" s="809"/>
      <c r="K76" s="417">
        <f>'[3]Gross Plant'!$C128</f>
        <v>107137690.04601805</v>
      </c>
      <c r="L76" s="438">
        <f t="shared" si="16"/>
        <v>1</v>
      </c>
      <c r="M76" s="438">
        <f t="shared" si="16"/>
        <v>1</v>
      </c>
      <c r="N76" s="390">
        <f t="shared" si="18"/>
        <v>107137690.04601805</v>
      </c>
    </row>
    <row r="77" spans="1:17">
      <c r="A77" s="260">
        <f t="shared" si="1"/>
        <v>63</v>
      </c>
      <c r="B77" s="406">
        <v>38100</v>
      </c>
      <c r="C77" s="247" t="s">
        <v>863</v>
      </c>
      <c r="D77" s="417">
        <f>'[3]Gross Plant'!$Q129</f>
        <v>30216256.075291932</v>
      </c>
      <c r="E77" s="809">
        <v>0</v>
      </c>
      <c r="F77" s="809">
        <f t="shared" si="19"/>
        <v>30216256.075291932</v>
      </c>
      <c r="G77" s="437">
        <f t="shared" ref="G77:H105" si="20">$G$16</f>
        <v>1</v>
      </c>
      <c r="H77" s="437">
        <f t="shared" si="20"/>
        <v>1</v>
      </c>
      <c r="I77" s="809">
        <f t="shared" si="17"/>
        <v>30216256.075291932</v>
      </c>
      <c r="J77" s="809"/>
      <c r="K77" s="417">
        <f>'[3]Gross Plant'!$C129</f>
        <v>27090307.961784128</v>
      </c>
      <c r="L77" s="438">
        <f t="shared" si="16"/>
        <v>1</v>
      </c>
      <c r="M77" s="438">
        <f t="shared" si="16"/>
        <v>1</v>
      </c>
      <c r="N77" s="390">
        <f t="shared" si="18"/>
        <v>27090307.961784128</v>
      </c>
    </row>
    <row r="78" spans="1:17">
      <c r="A78" s="260">
        <f t="shared" si="1"/>
        <v>64</v>
      </c>
      <c r="B78" s="406">
        <v>38200</v>
      </c>
      <c r="C78" s="247" t="s">
        <v>456</v>
      </c>
      <c r="D78" s="417">
        <f>'[3]Gross Plant'!$Q130</f>
        <v>51000598.624616176</v>
      </c>
      <c r="E78" s="809">
        <v>0</v>
      </c>
      <c r="F78" s="809">
        <f t="shared" si="19"/>
        <v>51000598.624616176</v>
      </c>
      <c r="G78" s="437">
        <f t="shared" si="20"/>
        <v>1</v>
      </c>
      <c r="H78" s="437">
        <f t="shared" si="20"/>
        <v>1</v>
      </c>
      <c r="I78" s="809">
        <f t="shared" si="17"/>
        <v>51000598.624616176</v>
      </c>
      <c r="J78" s="809"/>
      <c r="K78" s="417">
        <f>'[3]Gross Plant'!$C130</f>
        <v>50542420.409947395</v>
      </c>
      <c r="L78" s="438">
        <f t="shared" si="16"/>
        <v>1</v>
      </c>
      <c r="M78" s="438">
        <f t="shared" si="16"/>
        <v>1</v>
      </c>
      <c r="N78" s="390">
        <f t="shared" si="18"/>
        <v>50542420.409947395</v>
      </c>
    </row>
    <row r="79" spans="1:17">
      <c r="A79" s="260">
        <f t="shared" si="1"/>
        <v>65</v>
      </c>
      <c r="B79" s="406">
        <v>38300</v>
      </c>
      <c r="C79" s="247" t="s">
        <v>1073</v>
      </c>
      <c r="D79" s="417">
        <f>'[3]Gross Plant'!$Q131</f>
        <v>8250799.8745375238</v>
      </c>
      <c r="E79" s="809">
        <v>0</v>
      </c>
      <c r="F79" s="809">
        <f t="shared" si="19"/>
        <v>8250799.8745375238</v>
      </c>
      <c r="G79" s="437">
        <f t="shared" si="20"/>
        <v>1</v>
      </c>
      <c r="H79" s="437">
        <f t="shared" si="20"/>
        <v>1</v>
      </c>
      <c r="I79" s="809">
        <f t="shared" si="17"/>
        <v>8250799.8745375238</v>
      </c>
      <c r="J79" s="809"/>
      <c r="K79" s="417">
        <f>'[3]Gross Plant'!$C131</f>
        <v>8096146.0317877959</v>
      </c>
      <c r="L79" s="438">
        <f t="shared" si="16"/>
        <v>1</v>
      </c>
      <c r="M79" s="438">
        <f t="shared" si="16"/>
        <v>1</v>
      </c>
      <c r="N79" s="390">
        <f t="shared" si="18"/>
        <v>8096146.0317877959</v>
      </c>
    </row>
    <row r="80" spans="1:17">
      <c r="A80" s="260">
        <f t="shared" si="1"/>
        <v>66</v>
      </c>
      <c r="B80" s="406">
        <v>38400</v>
      </c>
      <c r="C80" s="247" t="s">
        <v>457</v>
      </c>
      <c r="D80" s="417">
        <f>'[3]Gross Plant'!$Q132</f>
        <v>154276.35999999999</v>
      </c>
      <c r="E80" s="809">
        <v>0</v>
      </c>
      <c r="F80" s="809">
        <f t="shared" si="19"/>
        <v>154276.35999999999</v>
      </c>
      <c r="G80" s="437">
        <f t="shared" si="20"/>
        <v>1</v>
      </c>
      <c r="H80" s="437">
        <f t="shared" si="20"/>
        <v>1</v>
      </c>
      <c r="I80" s="809">
        <f t="shared" si="17"/>
        <v>154276.35999999999</v>
      </c>
      <c r="J80" s="809"/>
      <c r="K80" s="417">
        <f>'[3]Gross Plant'!$C132</f>
        <v>154276.35999999993</v>
      </c>
      <c r="L80" s="438">
        <f t="shared" si="16"/>
        <v>1</v>
      </c>
      <c r="M80" s="438">
        <f t="shared" si="16"/>
        <v>1</v>
      </c>
      <c r="N80" s="390">
        <f t="shared" si="18"/>
        <v>154276.35999999993</v>
      </c>
    </row>
    <row r="81" spans="1:15">
      <c r="A81" s="260">
        <f t="shared" ref="A81:A144" si="21">A80+1</f>
        <v>67</v>
      </c>
      <c r="B81" s="406">
        <v>38500</v>
      </c>
      <c r="C81" s="247" t="s">
        <v>458</v>
      </c>
      <c r="D81" s="417">
        <f>'[3]Gross Plant'!$Q133</f>
        <v>5345442.1765498584</v>
      </c>
      <c r="E81" s="809">
        <v>0</v>
      </c>
      <c r="F81" s="809">
        <f t="shared" si="19"/>
        <v>5345442.1765498584</v>
      </c>
      <c r="G81" s="437">
        <f t="shared" si="20"/>
        <v>1</v>
      </c>
      <c r="H81" s="437">
        <f t="shared" si="20"/>
        <v>1</v>
      </c>
      <c r="I81" s="809">
        <f t="shared" si="17"/>
        <v>5345442.1765498584</v>
      </c>
      <c r="J81" s="809"/>
      <c r="K81" s="417">
        <f>'[3]Gross Plant'!$C133</f>
        <v>5278579.4293536246</v>
      </c>
      <c r="L81" s="438">
        <f t="shared" si="16"/>
        <v>1</v>
      </c>
      <c r="M81" s="438">
        <f t="shared" si="16"/>
        <v>1</v>
      </c>
      <c r="N81" s="390">
        <f t="shared" si="18"/>
        <v>5278579.4293536246</v>
      </c>
    </row>
    <row r="82" spans="1:15">
      <c r="A82" s="260">
        <f t="shared" si="21"/>
        <v>68</v>
      </c>
      <c r="B82" s="405"/>
      <c r="C82" s="247"/>
      <c r="D82" s="812"/>
      <c r="E82" s="812"/>
      <c r="F82" s="812"/>
      <c r="G82" s="437"/>
      <c r="H82" s="437"/>
      <c r="I82" s="812"/>
      <c r="J82" s="106"/>
      <c r="K82" s="964"/>
      <c r="N82" s="789"/>
    </row>
    <row r="83" spans="1:15">
      <c r="A83" s="260">
        <f t="shared" si="21"/>
        <v>69</v>
      </c>
      <c r="B83" s="405"/>
      <c r="C83" s="247" t="s">
        <v>308</v>
      </c>
      <c r="D83" s="462">
        <f>SUM(D62:D82)</f>
        <v>430390669.26705945</v>
      </c>
      <c r="E83" s="462">
        <f>SUM(E62:E82)</f>
        <v>0</v>
      </c>
      <c r="F83" s="462">
        <f>SUM(F62:F82)</f>
        <v>430390669.26705945</v>
      </c>
      <c r="G83" s="437"/>
      <c r="H83" s="437"/>
      <c r="I83" s="462">
        <f>SUM(I62:I82)</f>
        <v>430390669.26705945</v>
      </c>
      <c r="J83" s="106"/>
      <c r="K83" s="462">
        <f>SUM(K62:K82)</f>
        <v>405500104.77271068</v>
      </c>
      <c r="N83" s="407">
        <f>SUM(N62:N82)</f>
        <v>405500104.77271068</v>
      </c>
      <c r="O83" s="771"/>
    </row>
    <row r="84" spans="1:15">
      <c r="A84" s="260">
        <f t="shared" si="21"/>
        <v>70</v>
      </c>
      <c r="B84" s="405"/>
      <c r="C84" s="247"/>
      <c r="D84" s="106"/>
      <c r="E84" s="106"/>
      <c r="F84" s="106"/>
      <c r="G84" s="437"/>
      <c r="H84" s="437"/>
      <c r="I84" s="106"/>
      <c r="J84" s="106"/>
      <c r="K84" s="462"/>
    </row>
    <row r="85" spans="1:15">
      <c r="A85" s="260">
        <f t="shared" si="21"/>
        <v>71</v>
      </c>
      <c r="B85" s="405"/>
      <c r="C85" s="17" t="s">
        <v>1190</v>
      </c>
      <c r="D85" s="106"/>
      <c r="E85" s="106"/>
      <c r="F85" s="106"/>
      <c r="G85" s="437"/>
      <c r="H85" s="437"/>
      <c r="I85" s="106"/>
      <c r="J85" s="106"/>
      <c r="K85" s="462"/>
    </row>
    <row r="86" spans="1:15">
      <c r="A86" s="260">
        <f t="shared" si="21"/>
        <v>72</v>
      </c>
      <c r="B86" s="406">
        <v>38900</v>
      </c>
      <c r="C86" s="247" t="s">
        <v>1168</v>
      </c>
      <c r="D86" s="417">
        <f>'[3]Gross Plant'!$Q134</f>
        <v>1027349.7</v>
      </c>
      <c r="E86" s="615">
        <v>0</v>
      </c>
      <c r="F86" s="462">
        <f t="shared" ref="F86:F105" si="22">D86+E86</f>
        <v>1027349.7</v>
      </c>
      <c r="G86" s="437">
        <f t="shared" si="20"/>
        <v>1</v>
      </c>
      <c r="H86" s="437">
        <f t="shared" si="20"/>
        <v>1</v>
      </c>
      <c r="I86" s="462">
        <f>F86*G86*H86</f>
        <v>1027349.7</v>
      </c>
      <c r="J86" s="106"/>
      <c r="K86" s="417">
        <f>'[3]Gross Plant'!$C134</f>
        <v>1027349.6999999998</v>
      </c>
      <c r="L86" s="438">
        <f t="shared" ref="L86:M105" si="23">$G$16</f>
        <v>1</v>
      </c>
      <c r="M86" s="438">
        <f t="shared" si="23"/>
        <v>1</v>
      </c>
      <c r="N86" s="407">
        <f>K86*L86*M86</f>
        <v>1027349.6999999998</v>
      </c>
    </row>
    <row r="87" spans="1:15">
      <c r="A87" s="260">
        <f t="shared" si="21"/>
        <v>73</v>
      </c>
      <c r="B87" s="406">
        <v>39000</v>
      </c>
      <c r="C87" s="247" t="s">
        <v>874</v>
      </c>
      <c r="D87" s="417">
        <f>'[3]Gross Plant'!$Q135</f>
        <v>4889293.3691388834</v>
      </c>
      <c r="E87" s="809">
        <v>0</v>
      </c>
      <c r="F87" s="809">
        <f>D87+E87</f>
        <v>4889293.3691388834</v>
      </c>
      <c r="G87" s="437">
        <f t="shared" si="20"/>
        <v>1</v>
      </c>
      <c r="H87" s="437">
        <f t="shared" si="20"/>
        <v>1</v>
      </c>
      <c r="I87" s="809">
        <f t="shared" ref="I87:I105" si="24">F87*G87*H87</f>
        <v>4889293.3691388834</v>
      </c>
      <c r="J87" s="106"/>
      <c r="K87" s="417">
        <f>'[3]Gross Plant'!$C135</f>
        <v>4630146.7259862125</v>
      </c>
      <c r="L87" s="438">
        <f t="shared" si="23"/>
        <v>1</v>
      </c>
      <c r="M87" s="438">
        <f t="shared" si="23"/>
        <v>1</v>
      </c>
      <c r="N87" s="390">
        <f t="shared" ref="N87:N105" si="25">K87*L87*M87</f>
        <v>4630146.7259862125</v>
      </c>
    </row>
    <row r="88" spans="1:15">
      <c r="A88" s="260">
        <f t="shared" si="21"/>
        <v>74</v>
      </c>
      <c r="B88" s="406">
        <v>39002</v>
      </c>
      <c r="C88" s="247" t="s">
        <v>764</v>
      </c>
      <c r="D88" s="417">
        <f>'[3]Gross Plant'!$Q136</f>
        <v>173114.85</v>
      </c>
      <c r="E88" s="809">
        <v>0</v>
      </c>
      <c r="F88" s="809">
        <f t="shared" si="22"/>
        <v>173114.85</v>
      </c>
      <c r="G88" s="437">
        <f t="shared" si="20"/>
        <v>1</v>
      </c>
      <c r="H88" s="437">
        <f t="shared" si="20"/>
        <v>1</v>
      </c>
      <c r="I88" s="809">
        <f t="shared" si="24"/>
        <v>173114.85</v>
      </c>
      <c r="J88" s="106"/>
      <c r="K88" s="417">
        <f>'[3]Gross Plant'!$C136</f>
        <v>173114.85000000003</v>
      </c>
      <c r="L88" s="438">
        <f t="shared" si="23"/>
        <v>1</v>
      </c>
      <c r="M88" s="438">
        <f t="shared" si="23"/>
        <v>1</v>
      </c>
      <c r="N88" s="390">
        <f t="shared" si="25"/>
        <v>173114.85000000003</v>
      </c>
    </row>
    <row r="89" spans="1:15">
      <c r="A89" s="260">
        <f t="shared" si="21"/>
        <v>75</v>
      </c>
      <c r="B89" s="406">
        <v>39003</v>
      </c>
      <c r="C89" s="247" t="s">
        <v>1017</v>
      </c>
      <c r="D89" s="417">
        <f>'[3]Gross Plant'!$Q137</f>
        <v>709199.18</v>
      </c>
      <c r="E89" s="809">
        <v>0</v>
      </c>
      <c r="F89" s="809">
        <f t="shared" si="22"/>
        <v>709199.18</v>
      </c>
      <c r="G89" s="437">
        <f t="shared" si="20"/>
        <v>1</v>
      </c>
      <c r="H89" s="437">
        <f t="shared" si="20"/>
        <v>1</v>
      </c>
      <c r="I89" s="809">
        <f t="shared" si="24"/>
        <v>709199.18</v>
      </c>
      <c r="J89" s="106"/>
      <c r="K89" s="417">
        <f>'[3]Gross Plant'!$C137</f>
        <v>709199.17999999982</v>
      </c>
      <c r="L89" s="438">
        <f t="shared" si="23"/>
        <v>1</v>
      </c>
      <c r="M89" s="438">
        <f t="shared" si="23"/>
        <v>1</v>
      </c>
      <c r="N89" s="390">
        <f t="shared" si="25"/>
        <v>709199.17999999982</v>
      </c>
    </row>
    <row r="90" spans="1:15">
      <c r="A90" s="260">
        <f t="shared" si="21"/>
        <v>76</v>
      </c>
      <c r="B90" s="406">
        <v>39004</v>
      </c>
      <c r="C90" s="247" t="s">
        <v>459</v>
      </c>
      <c r="D90" s="417">
        <f>'[3]Gross Plant'!$Q138</f>
        <v>7461.49</v>
      </c>
      <c r="E90" s="809">
        <v>0</v>
      </c>
      <c r="F90" s="809">
        <f t="shared" si="22"/>
        <v>7461.49</v>
      </c>
      <c r="G90" s="437">
        <f t="shared" si="20"/>
        <v>1</v>
      </c>
      <c r="H90" s="437">
        <f t="shared" si="20"/>
        <v>1</v>
      </c>
      <c r="I90" s="809">
        <f t="shared" si="24"/>
        <v>7461.49</v>
      </c>
      <c r="J90" s="106"/>
      <c r="K90" s="417">
        <f>'[3]Gross Plant'!$C138</f>
        <v>7461.4900000000007</v>
      </c>
      <c r="L90" s="438">
        <f t="shared" si="23"/>
        <v>1</v>
      </c>
      <c r="M90" s="438">
        <f t="shared" si="23"/>
        <v>1</v>
      </c>
      <c r="N90" s="390">
        <f t="shared" si="25"/>
        <v>7461.4900000000007</v>
      </c>
    </row>
    <row r="91" spans="1:15">
      <c r="A91" s="260">
        <f t="shared" si="21"/>
        <v>77</v>
      </c>
      <c r="B91" s="406">
        <v>39009</v>
      </c>
      <c r="C91" s="247" t="s">
        <v>1056</v>
      </c>
      <c r="D91" s="417">
        <f>'[3]Gross Plant'!$Q139</f>
        <v>1246194.18</v>
      </c>
      <c r="E91" s="809">
        <v>0</v>
      </c>
      <c r="F91" s="809">
        <f t="shared" si="22"/>
        <v>1246194.18</v>
      </c>
      <c r="G91" s="437">
        <f t="shared" si="20"/>
        <v>1</v>
      </c>
      <c r="H91" s="437">
        <f t="shared" si="20"/>
        <v>1</v>
      </c>
      <c r="I91" s="809">
        <f t="shared" si="24"/>
        <v>1246194.18</v>
      </c>
      <c r="J91" s="106"/>
      <c r="K91" s="417">
        <f>'[3]Gross Plant'!$C139</f>
        <v>1246194.18</v>
      </c>
      <c r="L91" s="438">
        <f t="shared" si="23"/>
        <v>1</v>
      </c>
      <c r="M91" s="438">
        <f t="shared" si="23"/>
        <v>1</v>
      </c>
      <c r="N91" s="390">
        <f t="shared" si="25"/>
        <v>1246194.18</v>
      </c>
    </row>
    <row r="92" spans="1:15">
      <c r="A92" s="260">
        <f t="shared" si="21"/>
        <v>78</v>
      </c>
      <c r="B92" s="406">
        <v>39100</v>
      </c>
      <c r="C92" s="247" t="s">
        <v>796</v>
      </c>
      <c r="D92" s="417">
        <f>'[3]Gross Plant'!$Q140</f>
        <v>1811922.8204937228</v>
      </c>
      <c r="E92" s="809">
        <v>0</v>
      </c>
      <c r="F92" s="809">
        <f t="shared" si="22"/>
        <v>1811922.8204937228</v>
      </c>
      <c r="G92" s="437">
        <f t="shared" si="20"/>
        <v>1</v>
      </c>
      <c r="H92" s="437">
        <f t="shared" si="20"/>
        <v>1</v>
      </c>
      <c r="I92" s="809">
        <f t="shared" si="24"/>
        <v>1811922.8204937228</v>
      </c>
      <c r="J92" s="106"/>
      <c r="K92" s="417">
        <f>'[3]Gross Plant'!$C140</f>
        <v>1705903.1863409057</v>
      </c>
      <c r="L92" s="438">
        <f t="shared" si="23"/>
        <v>1</v>
      </c>
      <c r="M92" s="438">
        <f t="shared" si="23"/>
        <v>1</v>
      </c>
      <c r="N92" s="390">
        <f t="shared" si="25"/>
        <v>1705903.1863409057</v>
      </c>
    </row>
    <row r="93" spans="1:15">
      <c r="A93" s="260">
        <f t="shared" si="21"/>
        <v>79</v>
      </c>
      <c r="B93" s="406">
        <v>39200</v>
      </c>
      <c r="C93" s="247" t="s">
        <v>1096</v>
      </c>
      <c r="D93" s="417">
        <f>'[3]Gross Plant'!$Q141</f>
        <v>362906.41</v>
      </c>
      <c r="E93" s="809">
        <v>0</v>
      </c>
      <c r="F93" s="809">
        <f t="shared" si="22"/>
        <v>362906.41</v>
      </c>
      <c r="G93" s="437">
        <f t="shared" si="20"/>
        <v>1</v>
      </c>
      <c r="H93" s="437">
        <f t="shared" si="20"/>
        <v>1</v>
      </c>
      <c r="I93" s="809">
        <f t="shared" si="24"/>
        <v>362906.41</v>
      </c>
      <c r="J93" s="106"/>
      <c r="K93" s="417">
        <f>'[3]Gross Plant'!$C141</f>
        <v>367221.64076923084</v>
      </c>
      <c r="L93" s="438">
        <f t="shared" si="23"/>
        <v>1</v>
      </c>
      <c r="M93" s="438">
        <f t="shared" si="23"/>
        <v>1</v>
      </c>
      <c r="N93" s="390">
        <f t="shared" si="25"/>
        <v>367221.64076923084</v>
      </c>
    </row>
    <row r="94" spans="1:15">
      <c r="A94" s="260">
        <f t="shared" si="21"/>
        <v>80</v>
      </c>
      <c r="B94" s="406">
        <v>39202</v>
      </c>
      <c r="C94" s="247" t="s">
        <v>91</v>
      </c>
      <c r="D94" s="417">
        <f>'[3]Gross Plant'!$Q142</f>
        <v>33191.910000000003</v>
      </c>
      <c r="E94" s="809">
        <v>0</v>
      </c>
      <c r="F94" s="809">
        <f t="shared" si="22"/>
        <v>33191.910000000003</v>
      </c>
      <c r="G94" s="437">
        <f t="shared" si="20"/>
        <v>1</v>
      </c>
      <c r="H94" s="437">
        <f t="shared" si="20"/>
        <v>1</v>
      </c>
      <c r="I94" s="809">
        <f t="shared" si="24"/>
        <v>33191.910000000003</v>
      </c>
      <c r="J94" s="106"/>
      <c r="K94" s="417">
        <f>'[3]Gross Plant'!$C142</f>
        <v>33191.910000000018</v>
      </c>
      <c r="L94" s="438">
        <f t="shared" si="23"/>
        <v>1</v>
      </c>
      <c r="M94" s="438">
        <f t="shared" si="23"/>
        <v>1</v>
      </c>
      <c r="N94" s="390">
        <f t="shared" si="25"/>
        <v>33191.910000000018</v>
      </c>
    </row>
    <row r="95" spans="1:15">
      <c r="A95" s="260">
        <f t="shared" si="21"/>
        <v>81</v>
      </c>
      <c r="B95" s="406">
        <v>39400</v>
      </c>
      <c r="C95" s="247" t="s">
        <v>1055</v>
      </c>
      <c r="D95" s="417">
        <f>'[3]Gross Plant'!$Q143</f>
        <v>2331060.5472186203</v>
      </c>
      <c r="E95" s="809">
        <v>0</v>
      </c>
      <c r="F95" s="809">
        <f t="shared" si="22"/>
        <v>2331060.5472186203</v>
      </c>
      <c r="G95" s="437">
        <f t="shared" si="20"/>
        <v>1</v>
      </c>
      <c r="H95" s="437">
        <f t="shared" si="20"/>
        <v>1</v>
      </c>
      <c r="I95" s="809">
        <f t="shared" si="24"/>
        <v>2331060.5472186203</v>
      </c>
      <c r="J95" s="106"/>
      <c r="K95" s="417">
        <f>'[3]Gross Plant'!$C143</f>
        <v>2094762.8756157053</v>
      </c>
      <c r="L95" s="438">
        <f t="shared" si="23"/>
        <v>1</v>
      </c>
      <c r="M95" s="438">
        <f t="shared" si="23"/>
        <v>1</v>
      </c>
      <c r="N95" s="390">
        <f t="shared" si="25"/>
        <v>2094762.8756157053</v>
      </c>
    </row>
    <row r="96" spans="1:15">
      <c r="A96" s="260">
        <f t="shared" si="21"/>
        <v>82</v>
      </c>
      <c r="B96" s="406">
        <v>39603</v>
      </c>
      <c r="C96" s="247" t="s">
        <v>92</v>
      </c>
      <c r="D96" s="417">
        <f>'[3]Gross Plant'!$Q144</f>
        <v>47302.960000000006</v>
      </c>
      <c r="E96" s="809">
        <v>0</v>
      </c>
      <c r="F96" s="809">
        <f t="shared" si="22"/>
        <v>47302.960000000006</v>
      </c>
      <c r="G96" s="437">
        <f t="shared" si="20"/>
        <v>1</v>
      </c>
      <c r="H96" s="437">
        <f t="shared" si="20"/>
        <v>1</v>
      </c>
      <c r="I96" s="809">
        <f t="shared" si="24"/>
        <v>47302.960000000006</v>
      </c>
      <c r="J96" s="106"/>
      <c r="K96" s="417">
        <f>'[3]Gross Plant'!$C144</f>
        <v>49272.406153846154</v>
      </c>
      <c r="L96" s="438">
        <f t="shared" si="23"/>
        <v>1</v>
      </c>
      <c r="M96" s="438">
        <f t="shared" si="23"/>
        <v>1</v>
      </c>
      <c r="N96" s="390">
        <f t="shared" si="25"/>
        <v>49272.406153846154</v>
      </c>
    </row>
    <row r="97" spans="1:18">
      <c r="A97" s="260">
        <f t="shared" si="21"/>
        <v>83</v>
      </c>
      <c r="B97" s="406">
        <v>39604</v>
      </c>
      <c r="C97" s="247" t="s">
        <v>93</v>
      </c>
      <c r="D97" s="417">
        <f>'[3]Gross Plant'!$Q145</f>
        <v>62747.29</v>
      </c>
      <c r="E97" s="809">
        <v>0</v>
      </c>
      <c r="F97" s="809">
        <f t="shared" si="22"/>
        <v>62747.29</v>
      </c>
      <c r="G97" s="437">
        <f t="shared" si="20"/>
        <v>1</v>
      </c>
      <c r="H97" s="437">
        <f t="shared" si="20"/>
        <v>1</v>
      </c>
      <c r="I97" s="809">
        <f t="shared" si="24"/>
        <v>62747.29</v>
      </c>
      <c r="J97" s="106"/>
      <c r="K97" s="417">
        <f>'[3]Gross Plant'!$C145</f>
        <v>62747.290000000008</v>
      </c>
      <c r="L97" s="438">
        <f t="shared" si="23"/>
        <v>1</v>
      </c>
      <c r="M97" s="438">
        <f t="shared" si="23"/>
        <v>1</v>
      </c>
      <c r="N97" s="390">
        <f t="shared" si="25"/>
        <v>62747.290000000008</v>
      </c>
    </row>
    <row r="98" spans="1:18">
      <c r="A98" s="260">
        <f t="shared" si="21"/>
        <v>84</v>
      </c>
      <c r="B98" s="406">
        <v>39605</v>
      </c>
      <c r="C98" s="60" t="s">
        <v>94</v>
      </c>
      <c r="D98" s="417">
        <f>'[3]Gross Plant'!$Q146</f>
        <v>33235.94</v>
      </c>
      <c r="E98" s="809">
        <v>0</v>
      </c>
      <c r="F98" s="809">
        <f t="shared" si="22"/>
        <v>33235.94</v>
      </c>
      <c r="G98" s="437">
        <f t="shared" si="20"/>
        <v>1</v>
      </c>
      <c r="H98" s="437">
        <f t="shared" si="20"/>
        <v>1</v>
      </c>
      <c r="I98" s="809">
        <f t="shared" si="24"/>
        <v>33235.94</v>
      </c>
      <c r="J98" s="106"/>
      <c r="K98" s="417">
        <f>'[3]Gross Plant'!$C146</f>
        <v>33235.94</v>
      </c>
      <c r="L98" s="438">
        <f t="shared" si="23"/>
        <v>1</v>
      </c>
      <c r="M98" s="438">
        <f t="shared" si="23"/>
        <v>1</v>
      </c>
      <c r="N98" s="390">
        <f t="shared" si="25"/>
        <v>33235.94</v>
      </c>
    </row>
    <row r="99" spans="1:18">
      <c r="A99" s="260">
        <f t="shared" si="21"/>
        <v>85</v>
      </c>
      <c r="B99" s="406">
        <v>39700</v>
      </c>
      <c r="C99" s="247" t="s">
        <v>454</v>
      </c>
      <c r="D99" s="417">
        <f>'[3]Gross Plant'!$Q147</f>
        <v>374223.52268984349</v>
      </c>
      <c r="E99" s="809">
        <v>0</v>
      </c>
      <c r="F99" s="809">
        <f t="shared" si="22"/>
        <v>374223.52268984349</v>
      </c>
      <c r="G99" s="437">
        <f t="shared" si="20"/>
        <v>1</v>
      </c>
      <c r="H99" s="437">
        <f t="shared" si="20"/>
        <v>1</v>
      </c>
      <c r="I99" s="809">
        <f t="shared" si="24"/>
        <v>374223.52268984349</v>
      </c>
      <c r="J99" s="106"/>
      <c r="K99" s="417">
        <f>'[3]Gross Plant'!$C147</f>
        <v>350578.89883126348</v>
      </c>
      <c r="L99" s="438">
        <f t="shared" si="23"/>
        <v>1</v>
      </c>
      <c r="M99" s="438">
        <f t="shared" si="23"/>
        <v>1</v>
      </c>
      <c r="N99" s="390">
        <f t="shared" si="25"/>
        <v>350578.89883126348</v>
      </c>
    </row>
    <row r="100" spans="1:18">
      <c r="A100" s="260">
        <f t="shared" si="21"/>
        <v>86</v>
      </c>
      <c r="B100" s="406">
        <v>39705</v>
      </c>
      <c r="C100" s="247" t="s">
        <v>738</v>
      </c>
      <c r="D100" s="417">
        <f>'[3]Gross Plant'!$Q148</f>
        <v>0</v>
      </c>
      <c r="E100" s="809">
        <v>0</v>
      </c>
      <c r="F100" s="809">
        <f t="shared" si="22"/>
        <v>0</v>
      </c>
      <c r="G100" s="437">
        <f t="shared" si="20"/>
        <v>1</v>
      </c>
      <c r="H100" s="437">
        <f t="shared" si="20"/>
        <v>1</v>
      </c>
      <c r="I100" s="809">
        <f t="shared" si="24"/>
        <v>0</v>
      </c>
      <c r="J100" s="106"/>
      <c r="K100" s="417">
        <f>'[3]Gross Plant'!$C148</f>
        <v>0</v>
      </c>
      <c r="L100" s="438">
        <f t="shared" si="23"/>
        <v>1</v>
      </c>
      <c r="M100" s="438">
        <f t="shared" si="23"/>
        <v>1</v>
      </c>
      <c r="N100" s="390">
        <f t="shared" si="25"/>
        <v>0</v>
      </c>
    </row>
    <row r="101" spans="1:18">
      <c r="A101" s="260">
        <f t="shared" si="21"/>
        <v>87</v>
      </c>
      <c r="B101" s="406">
        <v>39800</v>
      </c>
      <c r="C101" s="247" t="s">
        <v>666</v>
      </c>
      <c r="D101" s="417">
        <f>'[3]Gross Plant'!$Q149</f>
        <v>4004479.4464024189</v>
      </c>
      <c r="E101" s="809">
        <v>0</v>
      </c>
      <c r="F101" s="809">
        <f t="shared" si="22"/>
        <v>4004479.4464024189</v>
      </c>
      <c r="G101" s="437">
        <f t="shared" si="20"/>
        <v>1</v>
      </c>
      <c r="H101" s="437">
        <f t="shared" si="20"/>
        <v>1</v>
      </c>
      <c r="I101" s="809">
        <f t="shared" si="24"/>
        <v>4004479.4464024189</v>
      </c>
      <c r="J101" s="106"/>
      <c r="K101" s="417">
        <f>'[3]Gross Plant'!$C149</f>
        <v>3783696.2154265521</v>
      </c>
      <c r="L101" s="438">
        <f t="shared" si="23"/>
        <v>1</v>
      </c>
      <c r="M101" s="438">
        <f t="shared" si="23"/>
        <v>1</v>
      </c>
      <c r="N101" s="390">
        <f t="shared" si="25"/>
        <v>3783696.2154265521</v>
      </c>
    </row>
    <row r="102" spans="1:18">
      <c r="A102" s="260">
        <f t="shared" si="21"/>
        <v>88</v>
      </c>
      <c r="B102" s="406">
        <v>39903</v>
      </c>
      <c r="C102" s="247" t="s">
        <v>1022</v>
      </c>
      <c r="D102" s="417">
        <f>'[3]Gross Plant'!$Q150</f>
        <v>94665.026761268644</v>
      </c>
      <c r="E102" s="809">
        <v>0</v>
      </c>
      <c r="F102" s="809">
        <f t="shared" si="22"/>
        <v>94665.026761268644</v>
      </c>
      <c r="G102" s="437">
        <f t="shared" si="20"/>
        <v>1</v>
      </c>
      <c r="H102" s="437">
        <f t="shared" si="20"/>
        <v>1</v>
      </c>
      <c r="I102" s="809">
        <f t="shared" si="24"/>
        <v>94665.026761268644</v>
      </c>
      <c r="J102" s="106"/>
      <c r="K102" s="417">
        <f>'[3]Gross Plant'!$C150</f>
        <v>94636.820826380601</v>
      </c>
      <c r="L102" s="438">
        <f t="shared" si="23"/>
        <v>1</v>
      </c>
      <c r="M102" s="438">
        <f t="shared" si="23"/>
        <v>1</v>
      </c>
      <c r="N102" s="390">
        <f t="shared" si="25"/>
        <v>94636.820826380601</v>
      </c>
    </row>
    <row r="103" spans="1:18">
      <c r="A103" s="260">
        <f t="shared" si="21"/>
        <v>89</v>
      </c>
      <c r="B103" s="406">
        <v>39906</v>
      </c>
      <c r="C103" s="247" t="s">
        <v>465</v>
      </c>
      <c r="D103" s="417">
        <f>'[3]Gross Plant'!$Q151</f>
        <v>1363213.4808751661</v>
      </c>
      <c r="E103" s="809">
        <v>0</v>
      </c>
      <c r="F103" s="809">
        <f t="shared" si="22"/>
        <v>1363213.4808751661</v>
      </c>
      <c r="G103" s="437">
        <f t="shared" si="20"/>
        <v>1</v>
      </c>
      <c r="H103" s="437">
        <f t="shared" si="20"/>
        <v>1</v>
      </c>
      <c r="I103" s="809">
        <f t="shared" si="24"/>
        <v>1363213.4808751661</v>
      </c>
      <c r="J103" s="106"/>
      <c r="K103" s="417">
        <f>'[3]Gross Plant'!$C151</f>
        <v>1152457.435096733</v>
      </c>
      <c r="L103" s="438">
        <f t="shared" si="23"/>
        <v>1</v>
      </c>
      <c r="M103" s="438">
        <f t="shared" si="23"/>
        <v>1</v>
      </c>
      <c r="N103" s="390">
        <f t="shared" si="25"/>
        <v>1152457.435096733</v>
      </c>
    </row>
    <row r="104" spans="1:18">
      <c r="A104" s="260">
        <f t="shared" si="21"/>
        <v>90</v>
      </c>
      <c r="B104" s="406">
        <v>39907</v>
      </c>
      <c r="C104" s="247" t="s">
        <v>520</v>
      </c>
      <c r="D104" s="417">
        <f>'[3]Gross Plant'!$Q152</f>
        <v>13751.77</v>
      </c>
      <c r="E104" s="809">
        <v>0</v>
      </c>
      <c r="F104" s="809">
        <f t="shared" si="22"/>
        <v>13751.77</v>
      </c>
      <c r="G104" s="437">
        <f t="shared" si="20"/>
        <v>1</v>
      </c>
      <c r="H104" s="437">
        <f t="shared" si="20"/>
        <v>1</v>
      </c>
      <c r="I104" s="809">
        <f t="shared" si="24"/>
        <v>13751.77</v>
      </c>
      <c r="J104" s="106"/>
      <c r="K104" s="417">
        <f>'[3]Gross Plant'!$C152</f>
        <v>13751.769999999999</v>
      </c>
      <c r="L104" s="438">
        <f t="shared" si="23"/>
        <v>1</v>
      </c>
      <c r="M104" s="438">
        <f t="shared" si="23"/>
        <v>1</v>
      </c>
      <c r="N104" s="390">
        <f t="shared" si="25"/>
        <v>13751.769999999999</v>
      </c>
    </row>
    <row r="105" spans="1:18">
      <c r="A105" s="260">
        <f t="shared" si="21"/>
        <v>91</v>
      </c>
      <c r="B105" s="406">
        <v>39908</v>
      </c>
      <c r="C105" s="247" t="s">
        <v>184</v>
      </c>
      <c r="D105" s="417">
        <f>'[3]Gross Plant'!$Q153</f>
        <v>123514.83</v>
      </c>
      <c r="E105" s="809">
        <v>0</v>
      </c>
      <c r="F105" s="809">
        <f t="shared" si="22"/>
        <v>123514.83</v>
      </c>
      <c r="G105" s="437">
        <f t="shared" si="20"/>
        <v>1</v>
      </c>
      <c r="H105" s="437">
        <f t="shared" si="20"/>
        <v>1</v>
      </c>
      <c r="I105" s="809">
        <f t="shared" si="24"/>
        <v>123514.83</v>
      </c>
      <c r="J105" s="106"/>
      <c r="K105" s="417">
        <f>'[3]Gross Plant'!$C153</f>
        <v>123514.83000000002</v>
      </c>
      <c r="L105" s="438">
        <f t="shared" si="23"/>
        <v>1</v>
      </c>
      <c r="M105" s="438">
        <f t="shared" si="23"/>
        <v>1</v>
      </c>
      <c r="N105" s="390">
        <f t="shared" si="25"/>
        <v>123514.83000000002</v>
      </c>
    </row>
    <row r="106" spans="1:18">
      <c r="A106" s="260">
        <f t="shared" si="21"/>
        <v>92</v>
      </c>
      <c r="B106" s="405"/>
      <c r="C106" s="247"/>
      <c r="D106" s="812"/>
      <c r="E106" s="812"/>
      <c r="F106" s="812"/>
      <c r="G106" s="1131"/>
      <c r="H106" s="1131"/>
      <c r="I106" s="812"/>
      <c r="J106" s="106"/>
      <c r="K106" s="964"/>
      <c r="N106" s="789"/>
    </row>
    <row r="107" spans="1:18">
      <c r="A107" s="260">
        <f t="shared" si="21"/>
        <v>93</v>
      </c>
      <c r="B107" s="405"/>
      <c r="C107" s="247" t="s">
        <v>4</v>
      </c>
      <c r="D107" s="462">
        <f>SUM(D86:D106)</f>
        <v>18708828.723579917</v>
      </c>
      <c r="E107" s="462">
        <f>SUM(E86:E106)</f>
        <v>0</v>
      </c>
      <c r="F107" s="462">
        <f>SUM(F86:F106)</f>
        <v>18708828.723579917</v>
      </c>
      <c r="G107" s="437"/>
      <c r="H107" s="437"/>
      <c r="I107" s="462">
        <f>SUM(I86:I106)</f>
        <v>18708828.723579917</v>
      </c>
      <c r="J107" s="106"/>
      <c r="K107" s="462">
        <f>SUM(K86:K106)</f>
        <v>17658437.345046826</v>
      </c>
      <c r="N107" s="407">
        <f>SUM(N86:N106)</f>
        <v>17658437.345046826</v>
      </c>
    </row>
    <row r="108" spans="1:18">
      <c r="A108" s="260">
        <f t="shared" si="21"/>
        <v>94</v>
      </c>
      <c r="B108" s="405"/>
      <c r="C108" s="247"/>
      <c r="D108" s="106"/>
      <c r="E108" s="106"/>
      <c r="F108" s="106"/>
      <c r="G108" s="1131"/>
      <c r="H108" s="1131"/>
      <c r="I108" s="106"/>
      <c r="J108" s="106"/>
      <c r="K108" s="462"/>
    </row>
    <row r="109" spans="1:18" ht="15.75" thickBot="1">
      <c r="A109" s="260">
        <f t="shared" si="21"/>
        <v>95</v>
      </c>
      <c r="B109" s="405"/>
      <c r="C109" s="247" t="s">
        <v>1364</v>
      </c>
      <c r="D109" s="1139">
        <f>D19+D26+D47+D59+D83+D107</f>
        <v>495447805.52999562</v>
      </c>
      <c r="E109" s="1139">
        <f>E19+E26+E47+E59+E83+E107</f>
        <v>0</v>
      </c>
      <c r="F109" s="1139">
        <f>F19+F26+F47+F59+F83+F107</f>
        <v>495447805.52999562</v>
      </c>
      <c r="G109" s="1131"/>
      <c r="H109" s="1131"/>
      <c r="I109" s="1139">
        <f>I19+I26+I47+I59+I83+I107</f>
        <v>495447805.52999562</v>
      </c>
      <c r="J109" s="106"/>
      <c r="K109" s="1139">
        <f>K19+K26+K47+K59+K83+K107</f>
        <v>468365717.519687</v>
      </c>
      <c r="N109" s="415">
        <f>N19+N26+N47+N59+N83+N107</f>
        <v>468365717.519687</v>
      </c>
      <c r="P109" s="1058"/>
      <c r="Q109" s="1058"/>
    </row>
    <row r="110" spans="1:18" ht="15.75" thickTop="1">
      <c r="A110" s="260">
        <f t="shared" si="21"/>
        <v>96</v>
      </c>
      <c r="B110" s="405"/>
      <c r="C110" s="247"/>
      <c r="D110" s="106"/>
      <c r="E110" s="106"/>
      <c r="F110" s="106"/>
      <c r="G110" s="1131"/>
      <c r="H110" s="1131"/>
      <c r="I110" s="106"/>
      <c r="J110" s="106"/>
      <c r="K110" s="462"/>
    </row>
    <row r="111" spans="1:18">
      <c r="A111" s="260">
        <f t="shared" si="21"/>
        <v>97</v>
      </c>
      <c r="B111" s="405"/>
      <c r="C111" s="268" t="s">
        <v>766</v>
      </c>
      <c r="D111" s="417">
        <f>'[3]Gross Plant'!Q$183</f>
        <v>14123020.170000006</v>
      </c>
      <c r="E111" s="417">
        <v>0</v>
      </c>
      <c r="F111" s="417">
        <f>D111+E111</f>
        <v>14123020.170000006</v>
      </c>
      <c r="G111" s="808">
        <f>$G$16</f>
        <v>1</v>
      </c>
      <c r="H111" s="808">
        <f>$G$16</f>
        <v>1</v>
      </c>
      <c r="I111" s="417">
        <f>F111*G111*H111</f>
        <v>14123020.170000006</v>
      </c>
      <c r="J111" s="106"/>
      <c r="K111" s="417">
        <f>'[3]Gross Plant'!C$183</f>
        <v>13742968.581538467</v>
      </c>
      <c r="L111" s="438">
        <f>$G$16</f>
        <v>1</v>
      </c>
      <c r="M111" s="438">
        <f>$G$16</f>
        <v>1</v>
      </c>
      <c r="N111" s="414">
        <f>K111*L111*M111</f>
        <v>13742968.581538467</v>
      </c>
      <c r="R111" s="78"/>
    </row>
    <row r="112" spans="1:18">
      <c r="A112" s="260">
        <f t="shared" si="21"/>
        <v>98</v>
      </c>
      <c r="B112" s="405"/>
      <c r="D112" s="106"/>
      <c r="E112" s="106"/>
      <c r="F112" s="106"/>
      <c r="G112" s="1131"/>
      <c r="H112" s="1131"/>
      <c r="I112" s="106"/>
      <c r="J112" s="106"/>
      <c r="K112" s="462"/>
    </row>
    <row r="113" spans="1:18" ht="15.75">
      <c r="A113" s="260">
        <f t="shared" si="21"/>
        <v>99</v>
      </c>
      <c r="B113" s="419" t="s">
        <v>7</v>
      </c>
      <c r="D113" s="106"/>
      <c r="E113" s="106"/>
      <c r="F113" s="106"/>
      <c r="G113" s="1131"/>
      <c r="H113" s="1131"/>
      <c r="I113" s="106"/>
      <c r="J113" s="106"/>
      <c r="K113" s="462"/>
    </row>
    <row r="114" spans="1:18">
      <c r="A114" s="260">
        <f t="shared" si="21"/>
        <v>100</v>
      </c>
      <c r="B114" s="405"/>
      <c r="D114" s="106"/>
      <c r="E114" s="106"/>
      <c r="F114" s="106"/>
      <c r="G114" s="1131"/>
      <c r="H114" s="1131"/>
      <c r="I114" s="106"/>
      <c r="J114" s="106"/>
      <c r="K114" s="462"/>
    </row>
    <row r="115" spans="1:18">
      <c r="A115" s="260">
        <f t="shared" si="21"/>
        <v>101</v>
      </c>
      <c r="B115" s="405"/>
      <c r="C115" s="17" t="s">
        <v>305</v>
      </c>
      <c r="D115" s="106"/>
      <c r="E115" s="106"/>
      <c r="F115" s="106"/>
      <c r="G115" s="1131"/>
      <c r="H115" s="1131"/>
      <c r="I115" s="106"/>
      <c r="J115" s="106"/>
      <c r="K115" s="462"/>
    </row>
    <row r="116" spans="1:18">
      <c r="A116" s="260">
        <f t="shared" si="21"/>
        <v>102</v>
      </c>
      <c r="B116" s="416">
        <v>30100</v>
      </c>
      <c r="C116" s="247" t="s">
        <v>299</v>
      </c>
      <c r="D116" s="417">
        <f>'[3]Gross Plant'!Q61</f>
        <v>185309.27</v>
      </c>
      <c r="E116" s="462">
        <v>0</v>
      </c>
      <c r="F116" s="462">
        <f>D116+E116</f>
        <v>185309.27</v>
      </c>
      <c r="G116" s="437">
        <f>$G$16</f>
        <v>1</v>
      </c>
      <c r="H116" s="421">
        <f>Allocation!$H$17</f>
        <v>0.49090457251500325</v>
      </c>
      <c r="I116" s="462">
        <f>F116*G116*H116</f>
        <v>90969.167972417315</v>
      </c>
      <c r="J116" s="106"/>
      <c r="K116" s="417">
        <f>'[3]Gross Plant'!$C61</f>
        <v>185309.27</v>
      </c>
      <c r="L116" s="438">
        <f t="shared" ref="L116:M117" si="26">G116</f>
        <v>1</v>
      </c>
      <c r="M116" s="422">
        <f t="shared" si="26"/>
        <v>0.49090457251500325</v>
      </c>
      <c r="N116" s="390">
        <f t="shared" ref="N116:N117" si="27">K116*L116*M116</f>
        <v>90969.167972417315</v>
      </c>
      <c r="R116" s="78"/>
    </row>
    <row r="117" spans="1:18">
      <c r="A117" s="260">
        <f t="shared" si="21"/>
        <v>103</v>
      </c>
      <c r="B117" s="416">
        <v>30300</v>
      </c>
      <c r="C117" s="247" t="s">
        <v>558</v>
      </c>
      <c r="D117" s="417">
        <f>'[3]Gross Plant'!Q62</f>
        <v>1109551.68</v>
      </c>
      <c r="E117" s="1137">
        <v>0</v>
      </c>
      <c r="F117" s="1137">
        <f>D117+E117</f>
        <v>1109551.68</v>
      </c>
      <c r="G117" s="437">
        <f>$G$16</f>
        <v>1</v>
      </c>
      <c r="H117" s="421">
        <f>$H$116</f>
        <v>0.49090457251500325</v>
      </c>
      <c r="I117" s="1138">
        <f>F117*G117*H117</f>
        <v>544683.99315370363</v>
      </c>
      <c r="J117" s="106"/>
      <c r="K117" s="417">
        <f>'[3]Gross Plant'!$C62</f>
        <v>1109551.68</v>
      </c>
      <c r="L117" s="438">
        <f t="shared" si="26"/>
        <v>1</v>
      </c>
      <c r="M117" s="422">
        <f t="shared" si="26"/>
        <v>0.49090457251500325</v>
      </c>
      <c r="N117" s="390">
        <f t="shared" si="27"/>
        <v>544683.99315370363</v>
      </c>
      <c r="R117" s="78"/>
    </row>
    <row r="118" spans="1:18">
      <c r="A118" s="260">
        <f t="shared" si="21"/>
        <v>104</v>
      </c>
      <c r="B118" s="405"/>
      <c r="C118" s="247"/>
      <c r="D118" s="812"/>
      <c r="E118" s="812"/>
      <c r="F118" s="812"/>
      <c r="G118" s="1131"/>
      <c r="H118" s="1131"/>
      <c r="I118" s="812"/>
      <c r="J118" s="106"/>
      <c r="K118" s="964"/>
      <c r="N118" s="789"/>
    </row>
    <row r="119" spans="1:18">
      <c r="A119" s="260">
        <f t="shared" si="21"/>
        <v>105</v>
      </c>
      <c r="B119" s="405"/>
      <c r="C119" s="247" t="s">
        <v>306</v>
      </c>
      <c r="D119" s="462">
        <f>SUM(D116:D118)</f>
        <v>1294860.95</v>
      </c>
      <c r="E119" s="462">
        <f>SUM(E116:E118)</f>
        <v>0</v>
      </c>
      <c r="F119" s="462">
        <f>SUM(F116:F118)</f>
        <v>1294860.95</v>
      </c>
      <c r="G119" s="437"/>
      <c r="H119" s="437"/>
      <c r="I119" s="462">
        <f>SUM(I116:I118)</f>
        <v>635653.16112612095</v>
      </c>
      <c r="J119" s="106"/>
      <c r="K119" s="462">
        <f>SUM(K116:K118)</f>
        <v>1294860.95</v>
      </c>
      <c r="N119" s="407">
        <f>SUM(N116:N118)</f>
        <v>635653.16112612095</v>
      </c>
    </row>
    <row r="120" spans="1:18">
      <c r="A120" s="260">
        <f t="shared" si="21"/>
        <v>106</v>
      </c>
      <c r="B120" s="405"/>
      <c r="D120" s="106"/>
      <c r="E120" s="106"/>
      <c r="F120" s="106"/>
      <c r="G120" s="1131"/>
      <c r="H120" s="1131"/>
      <c r="I120" s="106"/>
      <c r="J120" s="106"/>
      <c r="K120" s="462"/>
    </row>
    <row r="121" spans="1:18">
      <c r="A121" s="260">
        <f t="shared" si="21"/>
        <v>107</v>
      </c>
      <c r="B121" s="405"/>
      <c r="C121" s="17" t="s">
        <v>307</v>
      </c>
      <c r="D121" s="106"/>
      <c r="E121" s="106"/>
      <c r="F121" s="106"/>
      <c r="G121" s="1131"/>
      <c r="H121" s="1131"/>
      <c r="I121" s="106"/>
      <c r="J121" s="106"/>
      <c r="K121" s="462"/>
    </row>
    <row r="122" spans="1:18">
      <c r="A122" s="260">
        <f t="shared" si="21"/>
        <v>108</v>
      </c>
      <c r="B122" s="416">
        <v>37400</v>
      </c>
      <c r="C122" s="247" t="s">
        <v>1168</v>
      </c>
      <c r="D122" s="462">
        <v>0</v>
      </c>
      <c r="E122" s="462">
        <v>0</v>
      </c>
      <c r="F122" s="462">
        <f>D122+E122</f>
        <v>0</v>
      </c>
      <c r="G122" s="437">
        <f>$G$16</f>
        <v>1</v>
      </c>
      <c r="H122" s="421">
        <f>$H$116</f>
        <v>0.49090457251500325</v>
      </c>
      <c r="I122" s="462">
        <f>F122*G122*H122</f>
        <v>0</v>
      </c>
      <c r="J122" s="106"/>
      <c r="K122" s="462">
        <v>0</v>
      </c>
      <c r="L122" s="438">
        <f>G122</f>
        <v>1</v>
      </c>
      <c r="M122" s="421">
        <f>H122</f>
        <v>0.49090457251500325</v>
      </c>
      <c r="N122" s="407">
        <f>K122*L122*M122</f>
        <v>0</v>
      </c>
    </row>
    <row r="123" spans="1:18">
      <c r="A123" s="260">
        <f t="shared" si="21"/>
        <v>109</v>
      </c>
      <c r="B123" s="416">
        <v>35010</v>
      </c>
      <c r="C123" s="247" t="s">
        <v>300</v>
      </c>
      <c r="D123" s="809">
        <v>0</v>
      </c>
      <c r="E123" s="809">
        <v>0</v>
      </c>
      <c r="F123" s="809">
        <f>D123+E123</f>
        <v>0</v>
      </c>
      <c r="G123" s="437">
        <f>$G$16</f>
        <v>1</v>
      </c>
      <c r="H123" s="421">
        <f>$H$116</f>
        <v>0.49090457251500325</v>
      </c>
      <c r="I123" s="809">
        <f>F123*G123*H123</f>
        <v>0</v>
      </c>
      <c r="J123" s="106"/>
      <c r="K123" s="809">
        <v>0</v>
      </c>
      <c r="L123" s="438">
        <f t="shared" ref="L123:L142" si="28">G123</f>
        <v>1</v>
      </c>
      <c r="M123" s="421">
        <f t="shared" ref="M123:M142" si="29">H123</f>
        <v>0.49090457251500325</v>
      </c>
      <c r="N123" s="390">
        <f t="shared" ref="N123:N142" si="30">K123*L123*M123</f>
        <v>0</v>
      </c>
    </row>
    <row r="124" spans="1:18">
      <c r="A124" s="260">
        <f t="shared" si="21"/>
        <v>110</v>
      </c>
      <c r="B124" s="416">
        <v>37402</v>
      </c>
      <c r="C124" s="247" t="s">
        <v>1018</v>
      </c>
      <c r="D124" s="809">
        <v>0</v>
      </c>
      <c r="E124" s="809">
        <v>0</v>
      </c>
      <c r="F124" s="809">
        <f t="shared" ref="F124:F142" si="31">D124+E124</f>
        <v>0</v>
      </c>
      <c r="G124" s="437">
        <f t="shared" ref="G124:G142" si="32">$G$16</f>
        <v>1</v>
      </c>
      <c r="H124" s="421">
        <f t="shared" ref="H124:H142" si="33">$H$116</f>
        <v>0.49090457251500325</v>
      </c>
      <c r="I124" s="809">
        <f t="shared" ref="I124:I142" si="34">F124*G124*H124</f>
        <v>0</v>
      </c>
      <c r="J124" s="106"/>
      <c r="K124" s="809">
        <v>0</v>
      </c>
      <c r="L124" s="438">
        <f t="shared" si="28"/>
        <v>1</v>
      </c>
      <c r="M124" s="421">
        <f t="shared" si="29"/>
        <v>0.49090457251500325</v>
      </c>
      <c r="N124" s="390">
        <f t="shared" si="30"/>
        <v>0</v>
      </c>
    </row>
    <row r="125" spans="1:18">
      <c r="A125" s="260">
        <f t="shared" si="21"/>
        <v>111</v>
      </c>
      <c r="B125" s="416">
        <v>37403</v>
      </c>
      <c r="C125" s="247" t="s">
        <v>1015</v>
      </c>
      <c r="D125" s="809">
        <v>0</v>
      </c>
      <c r="E125" s="809">
        <v>0</v>
      </c>
      <c r="F125" s="809">
        <f t="shared" si="31"/>
        <v>0</v>
      </c>
      <c r="G125" s="437">
        <f t="shared" si="32"/>
        <v>1</v>
      </c>
      <c r="H125" s="421">
        <f t="shared" si="33"/>
        <v>0.49090457251500325</v>
      </c>
      <c r="I125" s="809">
        <f t="shared" si="34"/>
        <v>0</v>
      </c>
      <c r="J125" s="106"/>
      <c r="K125" s="809">
        <v>0</v>
      </c>
      <c r="L125" s="438">
        <f t="shared" si="28"/>
        <v>1</v>
      </c>
      <c r="M125" s="421">
        <f t="shared" si="29"/>
        <v>0.49090457251500325</v>
      </c>
      <c r="N125" s="390">
        <f t="shared" si="30"/>
        <v>0</v>
      </c>
    </row>
    <row r="126" spans="1:18">
      <c r="A126" s="260">
        <f t="shared" si="21"/>
        <v>112</v>
      </c>
      <c r="B126" s="416">
        <v>36602</v>
      </c>
      <c r="C126" s="247" t="s">
        <v>874</v>
      </c>
      <c r="D126" s="809">
        <v>0</v>
      </c>
      <c r="E126" s="809">
        <v>0</v>
      </c>
      <c r="F126" s="809">
        <f t="shared" si="31"/>
        <v>0</v>
      </c>
      <c r="G126" s="437">
        <f t="shared" si="32"/>
        <v>1</v>
      </c>
      <c r="H126" s="421">
        <f t="shared" si="33"/>
        <v>0.49090457251500325</v>
      </c>
      <c r="I126" s="809">
        <f t="shared" si="34"/>
        <v>0</v>
      </c>
      <c r="J126" s="106"/>
      <c r="K126" s="809">
        <v>0</v>
      </c>
      <c r="L126" s="438">
        <f t="shared" si="28"/>
        <v>1</v>
      </c>
      <c r="M126" s="421">
        <f t="shared" si="29"/>
        <v>0.49090457251500325</v>
      </c>
      <c r="N126" s="390">
        <f t="shared" si="30"/>
        <v>0</v>
      </c>
    </row>
    <row r="127" spans="1:18">
      <c r="A127" s="260">
        <f t="shared" si="21"/>
        <v>113</v>
      </c>
      <c r="B127" s="416">
        <v>37402</v>
      </c>
      <c r="C127" s="247" t="s">
        <v>1018</v>
      </c>
      <c r="D127" s="809">
        <v>0</v>
      </c>
      <c r="E127" s="809">
        <v>0</v>
      </c>
      <c r="F127" s="809">
        <f>D127+E127</f>
        <v>0</v>
      </c>
      <c r="G127" s="437">
        <f t="shared" si="32"/>
        <v>1</v>
      </c>
      <c r="H127" s="421">
        <f t="shared" si="33"/>
        <v>0.49090457251500325</v>
      </c>
      <c r="I127" s="809">
        <f>F127*G127*H127</f>
        <v>0</v>
      </c>
      <c r="J127" s="106"/>
      <c r="K127" s="809">
        <v>0</v>
      </c>
      <c r="L127" s="438">
        <f>G127</f>
        <v>1</v>
      </c>
      <c r="M127" s="421">
        <f>H127</f>
        <v>0.49090457251500325</v>
      </c>
      <c r="N127" s="390">
        <f>K127*L127*M127</f>
        <v>0</v>
      </c>
    </row>
    <row r="128" spans="1:18">
      <c r="A128" s="260">
        <f t="shared" si="21"/>
        <v>114</v>
      </c>
      <c r="B128" s="416">
        <v>37501</v>
      </c>
      <c r="C128" s="247" t="s">
        <v>1016</v>
      </c>
      <c r="D128" s="809">
        <v>0</v>
      </c>
      <c r="E128" s="809">
        <v>0</v>
      </c>
      <c r="F128" s="809">
        <f t="shared" si="31"/>
        <v>0</v>
      </c>
      <c r="G128" s="437">
        <f t="shared" si="32"/>
        <v>1</v>
      </c>
      <c r="H128" s="421">
        <f t="shared" si="33"/>
        <v>0.49090457251500325</v>
      </c>
      <c r="I128" s="809">
        <f t="shared" si="34"/>
        <v>0</v>
      </c>
      <c r="J128" s="106"/>
      <c r="K128" s="809">
        <v>0</v>
      </c>
      <c r="L128" s="438">
        <f t="shared" si="28"/>
        <v>1</v>
      </c>
      <c r="M128" s="421">
        <f t="shared" si="29"/>
        <v>0.49090457251500325</v>
      </c>
      <c r="N128" s="390">
        <f t="shared" si="30"/>
        <v>0</v>
      </c>
    </row>
    <row r="129" spans="1:14">
      <c r="A129" s="260">
        <f t="shared" si="21"/>
        <v>115</v>
      </c>
      <c r="B129" s="416">
        <v>37503</v>
      </c>
      <c r="C129" s="247" t="s">
        <v>1017</v>
      </c>
      <c r="D129" s="809">
        <v>0</v>
      </c>
      <c r="E129" s="809">
        <v>0</v>
      </c>
      <c r="F129" s="809">
        <f t="shared" si="31"/>
        <v>0</v>
      </c>
      <c r="G129" s="437">
        <f t="shared" si="32"/>
        <v>1</v>
      </c>
      <c r="H129" s="421">
        <f t="shared" si="33"/>
        <v>0.49090457251500325</v>
      </c>
      <c r="I129" s="809">
        <f t="shared" si="34"/>
        <v>0</v>
      </c>
      <c r="J129" s="106"/>
      <c r="K129" s="809">
        <v>0</v>
      </c>
      <c r="L129" s="438">
        <f t="shared" si="28"/>
        <v>1</v>
      </c>
      <c r="M129" s="421">
        <f t="shared" si="29"/>
        <v>0.49090457251500325</v>
      </c>
      <c r="N129" s="390">
        <f t="shared" si="30"/>
        <v>0</v>
      </c>
    </row>
    <row r="130" spans="1:14">
      <c r="A130" s="260">
        <f t="shared" si="21"/>
        <v>116</v>
      </c>
      <c r="B130" s="416">
        <v>36700</v>
      </c>
      <c r="C130" s="247" t="s">
        <v>861</v>
      </c>
      <c r="D130" s="809">
        <v>0</v>
      </c>
      <c r="E130" s="809">
        <v>0</v>
      </c>
      <c r="F130" s="809">
        <f t="shared" si="31"/>
        <v>0</v>
      </c>
      <c r="G130" s="437">
        <f t="shared" si="32"/>
        <v>1</v>
      </c>
      <c r="H130" s="421">
        <f t="shared" si="33"/>
        <v>0.49090457251500325</v>
      </c>
      <c r="I130" s="809">
        <f t="shared" si="34"/>
        <v>0</v>
      </c>
      <c r="J130" s="106"/>
      <c r="K130" s="809">
        <v>0</v>
      </c>
      <c r="L130" s="438">
        <f t="shared" si="28"/>
        <v>1</v>
      </c>
      <c r="M130" s="421">
        <f t="shared" si="29"/>
        <v>0.49090457251500325</v>
      </c>
      <c r="N130" s="390">
        <f t="shared" si="30"/>
        <v>0</v>
      </c>
    </row>
    <row r="131" spans="1:14">
      <c r="A131" s="260">
        <f t="shared" si="21"/>
        <v>117</v>
      </c>
      <c r="B131" s="416">
        <v>36701</v>
      </c>
      <c r="C131" s="247" t="s">
        <v>16</v>
      </c>
      <c r="D131" s="809">
        <v>0</v>
      </c>
      <c r="E131" s="809">
        <v>0</v>
      </c>
      <c r="F131" s="809">
        <f t="shared" si="31"/>
        <v>0</v>
      </c>
      <c r="G131" s="437">
        <f t="shared" si="32"/>
        <v>1</v>
      </c>
      <c r="H131" s="421">
        <f t="shared" si="33"/>
        <v>0.49090457251500325</v>
      </c>
      <c r="I131" s="809">
        <f t="shared" si="34"/>
        <v>0</v>
      </c>
      <c r="J131" s="106"/>
      <c r="K131" s="809">
        <v>0</v>
      </c>
      <c r="L131" s="438">
        <f t="shared" si="28"/>
        <v>1</v>
      </c>
      <c r="M131" s="421">
        <f t="shared" si="29"/>
        <v>0.49090457251500325</v>
      </c>
      <c r="N131" s="390">
        <f t="shared" si="30"/>
        <v>0</v>
      </c>
    </row>
    <row r="132" spans="1:14">
      <c r="A132" s="260">
        <f t="shared" si="21"/>
        <v>118</v>
      </c>
      <c r="B132" s="416">
        <v>37602</v>
      </c>
      <c r="C132" s="247" t="s">
        <v>862</v>
      </c>
      <c r="D132" s="809">
        <v>0</v>
      </c>
      <c r="E132" s="809">
        <v>0</v>
      </c>
      <c r="F132" s="809">
        <f t="shared" si="31"/>
        <v>0</v>
      </c>
      <c r="G132" s="437">
        <f t="shared" si="32"/>
        <v>1</v>
      </c>
      <c r="H132" s="421">
        <f t="shared" si="33"/>
        <v>0.49090457251500325</v>
      </c>
      <c r="I132" s="809">
        <f t="shared" si="34"/>
        <v>0</v>
      </c>
      <c r="J132" s="106"/>
      <c r="K132" s="809">
        <v>0</v>
      </c>
      <c r="L132" s="438">
        <f t="shared" si="28"/>
        <v>1</v>
      </c>
      <c r="M132" s="421">
        <f t="shared" si="29"/>
        <v>0.49090457251500325</v>
      </c>
      <c r="N132" s="390">
        <f t="shared" si="30"/>
        <v>0</v>
      </c>
    </row>
    <row r="133" spans="1:14">
      <c r="A133" s="260">
        <f t="shared" si="21"/>
        <v>119</v>
      </c>
      <c r="B133" s="416">
        <v>37800</v>
      </c>
      <c r="C133" s="247" t="s">
        <v>234</v>
      </c>
      <c r="D133" s="809">
        <v>0</v>
      </c>
      <c r="E133" s="809">
        <v>0</v>
      </c>
      <c r="F133" s="809">
        <f t="shared" si="31"/>
        <v>0</v>
      </c>
      <c r="G133" s="437">
        <f t="shared" si="32"/>
        <v>1</v>
      </c>
      <c r="H133" s="421">
        <f t="shared" si="33"/>
        <v>0.49090457251500325</v>
      </c>
      <c r="I133" s="809">
        <f t="shared" si="34"/>
        <v>0</v>
      </c>
      <c r="J133" s="106"/>
      <c r="K133" s="809">
        <v>0</v>
      </c>
      <c r="L133" s="438">
        <f t="shared" si="28"/>
        <v>1</v>
      </c>
      <c r="M133" s="421">
        <f t="shared" si="29"/>
        <v>0.49090457251500325</v>
      </c>
      <c r="N133" s="390">
        <f t="shared" si="30"/>
        <v>0</v>
      </c>
    </row>
    <row r="134" spans="1:14">
      <c r="A134" s="260">
        <f t="shared" si="21"/>
        <v>120</v>
      </c>
      <c r="B134" s="416">
        <v>37900</v>
      </c>
      <c r="C134" s="247" t="s">
        <v>1211</v>
      </c>
      <c r="D134" s="809">
        <v>0</v>
      </c>
      <c r="E134" s="809">
        <v>0</v>
      </c>
      <c r="F134" s="809">
        <f t="shared" si="31"/>
        <v>0</v>
      </c>
      <c r="G134" s="437">
        <f t="shared" si="32"/>
        <v>1</v>
      </c>
      <c r="H134" s="421">
        <f t="shared" si="33"/>
        <v>0.49090457251500325</v>
      </c>
      <c r="I134" s="809">
        <f t="shared" si="34"/>
        <v>0</v>
      </c>
      <c r="J134" s="106"/>
      <c r="K134" s="809">
        <v>0</v>
      </c>
      <c r="L134" s="438">
        <f t="shared" si="28"/>
        <v>1</v>
      </c>
      <c r="M134" s="421">
        <f t="shared" si="29"/>
        <v>0.49090457251500325</v>
      </c>
      <c r="N134" s="390">
        <f t="shared" si="30"/>
        <v>0</v>
      </c>
    </row>
    <row r="135" spans="1:14">
      <c r="A135" s="260">
        <f t="shared" si="21"/>
        <v>121</v>
      </c>
      <c r="B135" s="416">
        <v>37905</v>
      </c>
      <c r="C135" s="247" t="s">
        <v>742</v>
      </c>
      <c r="D135" s="809">
        <v>0</v>
      </c>
      <c r="E135" s="809">
        <v>0</v>
      </c>
      <c r="F135" s="809">
        <f t="shared" si="31"/>
        <v>0</v>
      </c>
      <c r="G135" s="437">
        <f t="shared" si="32"/>
        <v>1</v>
      </c>
      <c r="H135" s="421">
        <f t="shared" si="33"/>
        <v>0.49090457251500325</v>
      </c>
      <c r="I135" s="809">
        <f t="shared" si="34"/>
        <v>0</v>
      </c>
      <c r="J135" s="106"/>
      <c r="K135" s="809">
        <v>0</v>
      </c>
      <c r="L135" s="438">
        <f t="shared" si="28"/>
        <v>1</v>
      </c>
      <c r="M135" s="421">
        <f t="shared" si="29"/>
        <v>0.49090457251500325</v>
      </c>
      <c r="N135" s="390">
        <f t="shared" si="30"/>
        <v>0</v>
      </c>
    </row>
    <row r="136" spans="1:14">
      <c r="A136" s="260">
        <f t="shared" si="21"/>
        <v>122</v>
      </c>
      <c r="B136" s="416">
        <v>38000</v>
      </c>
      <c r="C136" s="247" t="s">
        <v>1072</v>
      </c>
      <c r="D136" s="809">
        <v>0</v>
      </c>
      <c r="E136" s="809">
        <v>0</v>
      </c>
      <c r="F136" s="809">
        <f t="shared" si="31"/>
        <v>0</v>
      </c>
      <c r="G136" s="437">
        <f t="shared" si="32"/>
        <v>1</v>
      </c>
      <c r="H136" s="421">
        <f t="shared" si="33"/>
        <v>0.49090457251500325</v>
      </c>
      <c r="I136" s="809">
        <f t="shared" si="34"/>
        <v>0</v>
      </c>
      <c r="J136" s="106"/>
      <c r="K136" s="809">
        <v>0</v>
      </c>
      <c r="L136" s="438">
        <f t="shared" si="28"/>
        <v>1</v>
      </c>
      <c r="M136" s="421">
        <f t="shared" si="29"/>
        <v>0.49090457251500325</v>
      </c>
      <c r="N136" s="390">
        <f t="shared" si="30"/>
        <v>0</v>
      </c>
    </row>
    <row r="137" spans="1:14">
      <c r="A137" s="260">
        <f t="shared" si="21"/>
        <v>123</v>
      </c>
      <c r="B137" s="416">
        <v>38100</v>
      </c>
      <c r="C137" s="247" t="s">
        <v>863</v>
      </c>
      <c r="D137" s="809">
        <v>0</v>
      </c>
      <c r="E137" s="809">
        <v>0</v>
      </c>
      <c r="F137" s="809">
        <f t="shared" si="31"/>
        <v>0</v>
      </c>
      <c r="G137" s="437">
        <f t="shared" si="32"/>
        <v>1</v>
      </c>
      <c r="H137" s="421">
        <f t="shared" si="33"/>
        <v>0.49090457251500325</v>
      </c>
      <c r="I137" s="809">
        <f t="shared" si="34"/>
        <v>0</v>
      </c>
      <c r="J137" s="106"/>
      <c r="K137" s="809">
        <v>0</v>
      </c>
      <c r="L137" s="438">
        <f t="shared" si="28"/>
        <v>1</v>
      </c>
      <c r="M137" s="421">
        <f t="shared" si="29"/>
        <v>0.49090457251500325</v>
      </c>
      <c r="N137" s="390">
        <f t="shared" si="30"/>
        <v>0</v>
      </c>
    </row>
    <row r="138" spans="1:14">
      <c r="A138" s="260">
        <f t="shared" si="21"/>
        <v>124</v>
      </c>
      <c r="B138" s="416">
        <v>38200</v>
      </c>
      <c r="C138" s="247" t="s">
        <v>456</v>
      </c>
      <c r="D138" s="809">
        <v>0</v>
      </c>
      <c r="E138" s="809">
        <v>0</v>
      </c>
      <c r="F138" s="809">
        <f t="shared" si="31"/>
        <v>0</v>
      </c>
      <c r="G138" s="437">
        <f t="shared" si="32"/>
        <v>1</v>
      </c>
      <c r="H138" s="421">
        <f t="shared" si="33"/>
        <v>0.49090457251500325</v>
      </c>
      <c r="I138" s="809">
        <f t="shared" si="34"/>
        <v>0</v>
      </c>
      <c r="J138" s="106"/>
      <c r="K138" s="809">
        <v>0</v>
      </c>
      <c r="L138" s="438">
        <f t="shared" si="28"/>
        <v>1</v>
      </c>
      <c r="M138" s="421">
        <f t="shared" si="29"/>
        <v>0.49090457251500325</v>
      </c>
      <c r="N138" s="390">
        <f t="shared" si="30"/>
        <v>0</v>
      </c>
    </row>
    <row r="139" spans="1:14">
      <c r="A139" s="260">
        <f t="shared" si="21"/>
        <v>125</v>
      </c>
      <c r="B139" s="416">
        <v>38300</v>
      </c>
      <c r="C139" s="247" t="s">
        <v>1073</v>
      </c>
      <c r="D139" s="809">
        <v>0</v>
      </c>
      <c r="E139" s="809">
        <v>0</v>
      </c>
      <c r="F139" s="809">
        <f t="shared" si="31"/>
        <v>0</v>
      </c>
      <c r="G139" s="437">
        <f t="shared" si="32"/>
        <v>1</v>
      </c>
      <c r="H139" s="421">
        <f t="shared" si="33"/>
        <v>0.49090457251500325</v>
      </c>
      <c r="I139" s="809">
        <f t="shared" si="34"/>
        <v>0</v>
      </c>
      <c r="J139" s="106"/>
      <c r="K139" s="809">
        <v>0</v>
      </c>
      <c r="L139" s="438">
        <f t="shared" si="28"/>
        <v>1</v>
      </c>
      <c r="M139" s="421">
        <f t="shared" si="29"/>
        <v>0.49090457251500325</v>
      </c>
      <c r="N139" s="390">
        <f t="shared" si="30"/>
        <v>0</v>
      </c>
    </row>
    <row r="140" spans="1:14">
      <c r="A140" s="260">
        <f t="shared" si="21"/>
        <v>126</v>
      </c>
      <c r="B140" s="416">
        <v>38400</v>
      </c>
      <c r="C140" s="247" t="s">
        <v>457</v>
      </c>
      <c r="D140" s="809">
        <v>0</v>
      </c>
      <c r="E140" s="809">
        <v>0</v>
      </c>
      <c r="F140" s="809">
        <f t="shared" si="31"/>
        <v>0</v>
      </c>
      <c r="G140" s="437">
        <f t="shared" si="32"/>
        <v>1</v>
      </c>
      <c r="H140" s="421">
        <f t="shared" si="33"/>
        <v>0.49090457251500325</v>
      </c>
      <c r="I140" s="809">
        <f t="shared" si="34"/>
        <v>0</v>
      </c>
      <c r="J140" s="106"/>
      <c r="K140" s="809">
        <v>0</v>
      </c>
      <c r="L140" s="438">
        <f t="shared" si="28"/>
        <v>1</v>
      </c>
      <c r="M140" s="421">
        <f t="shared" si="29"/>
        <v>0.49090457251500325</v>
      </c>
      <c r="N140" s="390">
        <f t="shared" si="30"/>
        <v>0</v>
      </c>
    </row>
    <row r="141" spans="1:14">
      <c r="A141" s="260">
        <f t="shared" si="21"/>
        <v>127</v>
      </c>
      <c r="B141" s="416">
        <v>38500</v>
      </c>
      <c r="C141" s="247" t="s">
        <v>458</v>
      </c>
      <c r="D141" s="809">
        <v>0</v>
      </c>
      <c r="E141" s="809">
        <v>0</v>
      </c>
      <c r="F141" s="809">
        <f t="shared" si="31"/>
        <v>0</v>
      </c>
      <c r="G141" s="437">
        <f t="shared" si="32"/>
        <v>1</v>
      </c>
      <c r="H141" s="421">
        <f t="shared" si="33"/>
        <v>0.49090457251500325</v>
      </c>
      <c r="I141" s="809">
        <f t="shared" si="34"/>
        <v>0</v>
      </c>
      <c r="J141" s="106"/>
      <c r="K141" s="809">
        <v>0</v>
      </c>
      <c r="L141" s="438">
        <f t="shared" si="28"/>
        <v>1</v>
      </c>
      <c r="M141" s="421">
        <f t="shared" si="29"/>
        <v>0.49090457251500325</v>
      </c>
      <c r="N141" s="390">
        <f t="shared" si="30"/>
        <v>0</v>
      </c>
    </row>
    <row r="142" spans="1:14">
      <c r="A142" s="260">
        <f t="shared" si="21"/>
        <v>128</v>
      </c>
      <c r="B142" s="416">
        <v>38600</v>
      </c>
      <c r="C142" s="247" t="s">
        <v>111</v>
      </c>
      <c r="D142" s="1138">
        <v>0</v>
      </c>
      <c r="E142" s="1138">
        <v>0</v>
      </c>
      <c r="F142" s="1138">
        <f t="shared" si="31"/>
        <v>0</v>
      </c>
      <c r="G142" s="437">
        <f t="shared" si="32"/>
        <v>1</v>
      </c>
      <c r="H142" s="421">
        <f t="shared" si="33"/>
        <v>0.49090457251500325</v>
      </c>
      <c r="I142" s="1138">
        <f t="shared" si="34"/>
        <v>0</v>
      </c>
      <c r="J142" s="106"/>
      <c r="K142" s="1138">
        <v>0</v>
      </c>
      <c r="L142" s="438">
        <f t="shared" si="28"/>
        <v>1</v>
      </c>
      <c r="M142" s="421">
        <f t="shared" si="29"/>
        <v>0.49090457251500325</v>
      </c>
      <c r="N142" s="393">
        <f t="shared" si="30"/>
        <v>0</v>
      </c>
    </row>
    <row r="143" spans="1:14">
      <c r="A143" s="260">
        <f t="shared" si="21"/>
        <v>129</v>
      </c>
      <c r="B143" s="405"/>
      <c r="C143" s="247"/>
      <c r="D143" s="106"/>
      <c r="E143" s="106"/>
      <c r="F143" s="106"/>
      <c r="G143" s="1131"/>
      <c r="H143" s="1131"/>
      <c r="I143" s="106"/>
      <c r="J143" s="106"/>
      <c r="K143" s="106"/>
      <c r="M143" s="421"/>
    </row>
    <row r="144" spans="1:14">
      <c r="A144" s="260">
        <f t="shared" si="21"/>
        <v>130</v>
      </c>
      <c r="B144" s="405"/>
      <c r="C144" s="247" t="s">
        <v>308</v>
      </c>
      <c r="D144" s="462">
        <f>SUM(D122:D143)</f>
        <v>0</v>
      </c>
      <c r="E144" s="462">
        <f>SUM(E122:E143)</f>
        <v>0</v>
      </c>
      <c r="F144" s="462">
        <f>SUM(F122:F143)</f>
        <v>0</v>
      </c>
      <c r="G144" s="1131"/>
      <c r="H144" s="1131"/>
      <c r="I144" s="462">
        <f>SUM(I122:I143)</f>
        <v>0</v>
      </c>
      <c r="J144" s="106"/>
      <c r="K144" s="462">
        <f>SUM(K122:K143)</f>
        <v>0</v>
      </c>
      <c r="M144" s="421"/>
      <c r="N144" s="407">
        <f>SUM(N122:N143)</f>
        <v>0</v>
      </c>
    </row>
    <row r="145" spans="1:18">
      <c r="A145" s="260">
        <f t="shared" ref="A145:A209" si="35">A144+1</f>
        <v>131</v>
      </c>
      <c r="B145" s="405"/>
      <c r="C145" s="247"/>
      <c r="D145" s="106"/>
      <c r="E145" s="106"/>
      <c r="F145" s="106"/>
      <c r="G145" s="1131"/>
      <c r="H145" s="1131"/>
      <c r="I145" s="106"/>
      <c r="J145" s="106"/>
      <c r="K145" s="106"/>
      <c r="M145" s="421"/>
    </row>
    <row r="146" spans="1:18">
      <c r="A146" s="260">
        <f t="shared" si="35"/>
        <v>132</v>
      </c>
      <c r="B146" s="405"/>
      <c r="C146" s="17" t="s">
        <v>309</v>
      </c>
      <c r="D146" s="106"/>
      <c r="E146" s="106"/>
      <c r="F146" s="106"/>
      <c r="G146" s="1131"/>
      <c r="H146" s="1131"/>
      <c r="I146" s="106"/>
      <c r="J146" s="106"/>
      <c r="K146" s="106"/>
      <c r="M146" s="421"/>
    </row>
    <row r="147" spans="1:18">
      <c r="A147" s="260">
        <f t="shared" si="35"/>
        <v>133</v>
      </c>
      <c r="B147" s="416">
        <v>39001</v>
      </c>
      <c r="C147" s="247" t="s">
        <v>556</v>
      </c>
      <c r="D147" s="417">
        <f>'[3]Gross Plant'!$Q63</f>
        <v>179338.52</v>
      </c>
      <c r="E147" s="809">
        <v>0</v>
      </c>
      <c r="F147" s="809">
        <f>D147+E147</f>
        <v>179338.52</v>
      </c>
      <c r="G147" s="437">
        <f>$G$16</f>
        <v>1</v>
      </c>
      <c r="H147" s="421">
        <f>$H$116</f>
        <v>0.49090457251500325</v>
      </c>
      <c r="I147" s="809">
        <f>F147*G147*H147</f>
        <v>88038.099496073351</v>
      </c>
      <c r="J147" s="106"/>
      <c r="K147" s="417">
        <f>'[3]Gross Plant'!$C63</f>
        <v>179338.52</v>
      </c>
      <c r="L147" s="438">
        <f t="shared" ref="L147:L162" si="36">G147</f>
        <v>1</v>
      </c>
      <c r="M147" s="421">
        <f t="shared" ref="M147:M162" si="37">H147</f>
        <v>0.49090457251500325</v>
      </c>
      <c r="N147" s="390">
        <f t="shared" ref="N147:N162" si="38">K147*L147*M147</f>
        <v>88038.099496073351</v>
      </c>
      <c r="R147" s="78"/>
    </row>
    <row r="148" spans="1:18">
      <c r="A148" s="260">
        <f t="shared" si="35"/>
        <v>134</v>
      </c>
      <c r="B148" s="416">
        <v>39004</v>
      </c>
      <c r="C148" s="247" t="s">
        <v>459</v>
      </c>
      <c r="D148" s="417">
        <f>'[3]Gross Plant'!$Q64</f>
        <v>5771</v>
      </c>
      <c r="E148" s="809">
        <v>0</v>
      </c>
      <c r="F148" s="809">
        <f t="shared" ref="F148:F162" si="39">D148+E148</f>
        <v>5771</v>
      </c>
      <c r="G148" s="437">
        <f t="shared" ref="G148:G162" si="40">$G$16</f>
        <v>1</v>
      </c>
      <c r="H148" s="421">
        <f t="shared" ref="H148:H162" si="41">$H$116</f>
        <v>0.49090457251500325</v>
      </c>
      <c r="I148" s="809">
        <f t="shared" ref="I148:I162" si="42">F148*G148*H148</f>
        <v>2833.0102879840838</v>
      </c>
      <c r="J148" s="106"/>
      <c r="K148" s="417">
        <f>'[3]Gross Plant'!$C64</f>
        <v>5771</v>
      </c>
      <c r="L148" s="438">
        <f t="shared" si="36"/>
        <v>1</v>
      </c>
      <c r="M148" s="421">
        <f t="shared" si="37"/>
        <v>0.49090457251500325</v>
      </c>
      <c r="N148" s="390">
        <f t="shared" si="38"/>
        <v>2833.0102879840838</v>
      </c>
      <c r="R148" s="78"/>
    </row>
    <row r="149" spans="1:18">
      <c r="A149" s="260">
        <f t="shared" si="35"/>
        <v>135</v>
      </c>
      <c r="B149" s="416">
        <v>39009</v>
      </c>
      <c r="C149" s="247" t="s">
        <v>1056</v>
      </c>
      <c r="D149" s="417">
        <f>'[3]Gross Plant'!$Q65</f>
        <v>38834</v>
      </c>
      <c r="E149" s="809">
        <v>0</v>
      </c>
      <c r="F149" s="809">
        <f t="shared" si="39"/>
        <v>38834</v>
      </c>
      <c r="G149" s="437">
        <f t="shared" si="40"/>
        <v>1</v>
      </c>
      <c r="H149" s="421">
        <f t="shared" si="41"/>
        <v>0.49090457251500325</v>
      </c>
      <c r="I149" s="809">
        <f t="shared" si="42"/>
        <v>19063.788169047635</v>
      </c>
      <c r="J149" s="106"/>
      <c r="K149" s="417">
        <f>'[3]Gross Plant'!$C65</f>
        <v>38834</v>
      </c>
      <c r="L149" s="438">
        <f t="shared" si="36"/>
        <v>1</v>
      </c>
      <c r="M149" s="421">
        <f t="shared" si="37"/>
        <v>0.49090457251500325</v>
      </c>
      <c r="N149" s="390">
        <f t="shared" si="38"/>
        <v>19063.788169047635</v>
      </c>
      <c r="R149" s="78"/>
    </row>
    <row r="150" spans="1:18">
      <c r="A150" s="260">
        <f t="shared" si="35"/>
        <v>136</v>
      </c>
      <c r="B150" s="416">
        <v>39100</v>
      </c>
      <c r="C150" s="247" t="s">
        <v>796</v>
      </c>
      <c r="D150" s="417">
        <f>'[3]Gross Plant'!$Q66</f>
        <v>42652.820000000007</v>
      </c>
      <c r="E150" s="809">
        <v>0</v>
      </c>
      <c r="F150" s="809">
        <f t="shared" si="39"/>
        <v>42652.820000000007</v>
      </c>
      <c r="G150" s="437">
        <f t="shared" si="40"/>
        <v>1</v>
      </c>
      <c r="H150" s="421">
        <f t="shared" si="41"/>
        <v>0.49090457251500325</v>
      </c>
      <c r="I150" s="809">
        <f t="shared" si="42"/>
        <v>20938.464368659384</v>
      </c>
      <c r="J150" s="106"/>
      <c r="K150" s="417">
        <f>'[3]Gross Plant'!$C66</f>
        <v>41632.498461538467</v>
      </c>
      <c r="L150" s="438">
        <f t="shared" si="36"/>
        <v>1</v>
      </c>
      <c r="M150" s="421">
        <f t="shared" si="37"/>
        <v>0.49090457251500325</v>
      </c>
      <c r="N150" s="390">
        <f t="shared" si="38"/>
        <v>20437.583859993072</v>
      </c>
      <c r="R150" s="78"/>
    </row>
    <row r="151" spans="1:18">
      <c r="A151" s="260">
        <f t="shared" si="35"/>
        <v>137</v>
      </c>
      <c r="B151" s="416">
        <v>39200</v>
      </c>
      <c r="C151" s="247" t="s">
        <v>1096</v>
      </c>
      <c r="D151" s="417">
        <f>'[3]Gross Plant'!$Q67</f>
        <v>4109.6899999999996</v>
      </c>
      <c r="E151" s="809">
        <v>0</v>
      </c>
      <c r="F151" s="809">
        <f t="shared" si="39"/>
        <v>4109.6899999999996</v>
      </c>
      <c r="G151" s="437">
        <f t="shared" si="40"/>
        <v>1</v>
      </c>
      <c r="H151" s="421">
        <f t="shared" si="41"/>
        <v>0.49090457251500325</v>
      </c>
      <c r="I151" s="809">
        <f t="shared" si="42"/>
        <v>2017.4656126191835</v>
      </c>
      <c r="J151" s="106"/>
      <c r="K151" s="417">
        <f>'[3]Gross Plant'!$C67</f>
        <v>4109.6900000000005</v>
      </c>
      <c r="L151" s="438">
        <f t="shared" si="36"/>
        <v>1</v>
      </c>
      <c r="M151" s="421">
        <f t="shared" si="37"/>
        <v>0.49090457251500325</v>
      </c>
      <c r="N151" s="390">
        <f t="shared" si="38"/>
        <v>2017.465612619184</v>
      </c>
      <c r="R151" s="78"/>
    </row>
    <row r="152" spans="1:18">
      <c r="A152" s="260">
        <f t="shared" si="35"/>
        <v>138</v>
      </c>
      <c r="B152" s="416">
        <v>39400</v>
      </c>
      <c r="C152" s="247" t="s">
        <v>1055</v>
      </c>
      <c r="D152" s="417">
        <f>'[3]Gross Plant'!$Q68</f>
        <v>163707.46</v>
      </c>
      <c r="E152" s="809">
        <v>0</v>
      </c>
      <c r="F152" s="809">
        <f t="shared" si="39"/>
        <v>163707.46</v>
      </c>
      <c r="G152" s="437">
        <f t="shared" si="40"/>
        <v>1</v>
      </c>
      <c r="H152" s="421">
        <f t="shared" si="41"/>
        <v>0.49090457251500325</v>
      </c>
      <c r="I152" s="809">
        <f t="shared" si="42"/>
        <v>80364.740668816987</v>
      </c>
      <c r="J152" s="106"/>
      <c r="K152" s="417">
        <f>'[3]Gross Plant'!$C68</f>
        <v>163665.77999999997</v>
      </c>
      <c r="L152" s="438">
        <f t="shared" si="36"/>
        <v>1</v>
      </c>
      <c r="M152" s="421">
        <f t="shared" si="37"/>
        <v>0.49090457251500325</v>
      </c>
      <c r="N152" s="390">
        <f t="shared" si="38"/>
        <v>80344.279766234555</v>
      </c>
      <c r="R152" s="78"/>
    </row>
    <row r="153" spans="1:18">
      <c r="A153" s="260">
        <f t="shared" si="35"/>
        <v>139</v>
      </c>
      <c r="B153" s="416">
        <v>39600</v>
      </c>
      <c r="C153" s="247" t="s">
        <v>557</v>
      </c>
      <c r="D153" s="417">
        <f>'[3]Gross Plant'!$Q69</f>
        <v>11037.170000000002</v>
      </c>
      <c r="E153" s="809">
        <v>0</v>
      </c>
      <c r="F153" s="809">
        <f t="shared" si="39"/>
        <v>11037.170000000002</v>
      </c>
      <c r="G153" s="437">
        <f t="shared" si="40"/>
        <v>1</v>
      </c>
      <c r="H153" s="421">
        <f t="shared" si="41"/>
        <v>0.49090457251500325</v>
      </c>
      <c r="I153" s="809">
        <f t="shared" si="42"/>
        <v>5418.1972206254195</v>
      </c>
      <c r="J153" s="106"/>
      <c r="K153" s="417">
        <f>'[3]Gross Plant'!$C69</f>
        <v>13651.653076923081</v>
      </c>
      <c r="L153" s="438">
        <f t="shared" si="36"/>
        <v>1</v>
      </c>
      <c r="M153" s="421">
        <f t="shared" si="37"/>
        <v>0.49090457251500325</v>
      </c>
      <c r="N153" s="390">
        <f t="shared" si="38"/>
        <v>6701.6589178500535</v>
      </c>
      <c r="R153" s="78"/>
    </row>
    <row r="154" spans="1:18">
      <c r="A154" s="260">
        <f t="shared" si="35"/>
        <v>140</v>
      </c>
      <c r="B154" s="416">
        <v>39700</v>
      </c>
      <c r="C154" s="247" t="s">
        <v>454</v>
      </c>
      <c r="D154" s="417">
        <f>'[3]Gross Plant'!$Q70</f>
        <v>225613.58</v>
      </c>
      <c r="E154" s="809">
        <v>0</v>
      </c>
      <c r="F154" s="809">
        <f t="shared" si="39"/>
        <v>225613.58</v>
      </c>
      <c r="G154" s="437">
        <f t="shared" si="40"/>
        <v>1</v>
      </c>
      <c r="H154" s="421">
        <f t="shared" si="41"/>
        <v>0.49090457251500325</v>
      </c>
      <c r="I154" s="809">
        <f t="shared" si="42"/>
        <v>110754.73804347948</v>
      </c>
      <c r="J154" s="106"/>
      <c r="K154" s="417">
        <f>'[3]Gross Plant'!$C70</f>
        <v>225613.58000000005</v>
      </c>
      <c r="L154" s="438">
        <f t="shared" si="36"/>
        <v>1</v>
      </c>
      <c r="M154" s="421">
        <f t="shared" si="37"/>
        <v>0.49090457251500325</v>
      </c>
      <c r="N154" s="390">
        <f t="shared" si="38"/>
        <v>110754.7380434795</v>
      </c>
      <c r="R154" s="78"/>
    </row>
    <row r="155" spans="1:18">
      <c r="A155" s="260">
        <f t="shared" si="35"/>
        <v>141</v>
      </c>
      <c r="B155" s="416">
        <v>39800</v>
      </c>
      <c r="C155" s="247" t="s">
        <v>666</v>
      </c>
      <c r="D155" s="417">
        <f>'[3]Gross Plant'!$Q71</f>
        <v>882228.18</v>
      </c>
      <c r="E155" s="809">
        <v>0</v>
      </c>
      <c r="F155" s="809">
        <f t="shared" si="39"/>
        <v>882228.18</v>
      </c>
      <c r="G155" s="437">
        <f t="shared" si="40"/>
        <v>1</v>
      </c>
      <c r="H155" s="421">
        <f t="shared" si="41"/>
        <v>0.49090457251500325</v>
      </c>
      <c r="I155" s="809">
        <f t="shared" si="42"/>
        <v>433089.84756358934</v>
      </c>
      <c r="J155" s="106"/>
      <c r="K155" s="417">
        <f>'[3]Gross Plant'!$C71</f>
        <v>843986.64153846144</v>
      </c>
      <c r="L155" s="438">
        <f t="shared" si="36"/>
        <v>1</v>
      </c>
      <c r="M155" s="421">
        <f t="shared" si="37"/>
        <v>0.49090457251500325</v>
      </c>
      <c r="N155" s="390">
        <f t="shared" si="38"/>
        <v>414316.9014728117</v>
      </c>
      <c r="R155" s="78"/>
    </row>
    <row r="156" spans="1:18">
      <c r="A156" s="260">
        <f t="shared" si="35"/>
        <v>142</v>
      </c>
      <c r="B156" s="416">
        <v>39900</v>
      </c>
      <c r="C156" s="247" t="s">
        <v>1173</v>
      </c>
      <c r="D156" s="417">
        <f>'[3]Gross Plant'!$Q72</f>
        <v>76993.22</v>
      </c>
      <c r="E156" s="809">
        <v>0</v>
      </c>
      <c r="F156" s="809">
        <f t="shared" si="39"/>
        <v>76993.22</v>
      </c>
      <c r="G156" s="437">
        <f t="shared" si="40"/>
        <v>1</v>
      </c>
      <c r="H156" s="421">
        <f t="shared" si="41"/>
        <v>0.49090457251500325</v>
      </c>
      <c r="I156" s="809">
        <f t="shared" si="42"/>
        <v>37796.323750653595</v>
      </c>
      <c r="J156" s="106"/>
      <c r="K156" s="417">
        <f>'[3]Gross Plant'!$C72</f>
        <v>76993.219999999987</v>
      </c>
      <c r="L156" s="438">
        <f t="shared" si="36"/>
        <v>1</v>
      </c>
      <c r="M156" s="421">
        <f t="shared" si="37"/>
        <v>0.49090457251500325</v>
      </c>
      <c r="N156" s="390">
        <f t="shared" si="38"/>
        <v>37796.323750653595</v>
      </c>
      <c r="R156" s="78"/>
    </row>
    <row r="157" spans="1:18">
      <c r="A157" s="260">
        <f t="shared" si="35"/>
        <v>143</v>
      </c>
      <c r="B157" s="416">
        <v>39901</v>
      </c>
      <c r="C157" s="247" t="s">
        <v>489</v>
      </c>
      <c r="D157" s="417">
        <f>'[3]Gross Plant'!$Q73</f>
        <v>344193.54</v>
      </c>
      <c r="E157" s="809">
        <v>0</v>
      </c>
      <c r="F157" s="809">
        <f t="shared" si="39"/>
        <v>344193.54</v>
      </c>
      <c r="G157" s="437">
        <f t="shared" si="40"/>
        <v>1</v>
      </c>
      <c r="H157" s="421">
        <f t="shared" si="41"/>
        <v>0.49090457251500325</v>
      </c>
      <c r="I157" s="809">
        <f t="shared" si="42"/>
        <v>168966.18261612565</v>
      </c>
      <c r="J157" s="106"/>
      <c r="K157" s="417">
        <f>'[3]Gross Plant'!$C73</f>
        <v>344193.54</v>
      </c>
      <c r="L157" s="438">
        <f t="shared" si="36"/>
        <v>1</v>
      </c>
      <c r="M157" s="421">
        <f t="shared" si="37"/>
        <v>0.49090457251500325</v>
      </c>
      <c r="N157" s="390">
        <f t="shared" si="38"/>
        <v>168966.18261612565</v>
      </c>
      <c r="R157" s="78"/>
    </row>
    <row r="158" spans="1:18">
      <c r="A158" s="260">
        <f t="shared" si="35"/>
        <v>144</v>
      </c>
      <c r="B158" s="416">
        <v>39902</v>
      </c>
      <c r="C158" s="247" t="s">
        <v>979</v>
      </c>
      <c r="D158" s="417">
        <f>'[3]Gross Plant'!$Q74</f>
        <v>8273.14</v>
      </c>
      <c r="E158" s="809">
        <v>0</v>
      </c>
      <c r="F158" s="809">
        <f t="shared" si="39"/>
        <v>8273.14</v>
      </c>
      <c r="G158" s="437">
        <f t="shared" si="40"/>
        <v>1</v>
      </c>
      <c r="H158" s="421">
        <f t="shared" si="41"/>
        <v>0.49090457251500325</v>
      </c>
      <c r="I158" s="809">
        <f t="shared" si="42"/>
        <v>4061.3222550567739</v>
      </c>
      <c r="J158" s="106"/>
      <c r="K158" s="417">
        <f>'[3]Gross Plant'!$C74</f>
        <v>8273.14</v>
      </c>
      <c r="L158" s="438">
        <f t="shared" si="36"/>
        <v>1</v>
      </c>
      <c r="M158" s="421">
        <f t="shared" si="37"/>
        <v>0.49090457251500325</v>
      </c>
      <c r="N158" s="390">
        <f t="shared" si="38"/>
        <v>4061.3222550567739</v>
      </c>
      <c r="R158" s="78"/>
    </row>
    <row r="159" spans="1:18">
      <c r="A159" s="260">
        <f t="shared" si="35"/>
        <v>145</v>
      </c>
      <c r="B159" s="416">
        <v>39903</v>
      </c>
      <c r="C159" s="247" t="s">
        <v>1022</v>
      </c>
      <c r="D159" s="417">
        <f>'[3]Gross Plant'!$Q75</f>
        <v>209357.66</v>
      </c>
      <c r="E159" s="809">
        <v>0</v>
      </c>
      <c r="F159" s="809">
        <f t="shared" si="39"/>
        <v>209357.66</v>
      </c>
      <c r="G159" s="437">
        <f t="shared" si="40"/>
        <v>1</v>
      </c>
      <c r="H159" s="421">
        <f t="shared" si="41"/>
        <v>0.49090457251500325</v>
      </c>
      <c r="I159" s="809">
        <f t="shared" si="42"/>
        <v>102774.6325850414</v>
      </c>
      <c r="J159" s="106"/>
      <c r="K159" s="417">
        <f>'[3]Gross Plant'!$C75</f>
        <v>209357.66</v>
      </c>
      <c r="L159" s="438">
        <f t="shared" si="36"/>
        <v>1</v>
      </c>
      <c r="M159" s="421">
        <f t="shared" si="37"/>
        <v>0.49090457251500325</v>
      </c>
      <c r="N159" s="390">
        <f t="shared" si="38"/>
        <v>102774.6325850414</v>
      </c>
      <c r="R159" s="78"/>
    </row>
    <row r="160" spans="1:18">
      <c r="A160" s="260">
        <f t="shared" si="35"/>
        <v>146</v>
      </c>
      <c r="B160" s="416">
        <v>39906</v>
      </c>
      <c r="C160" s="247" t="s">
        <v>465</v>
      </c>
      <c r="D160" s="417">
        <f>'[3]Gross Plant'!$Q76</f>
        <v>325080.34000000003</v>
      </c>
      <c r="E160" s="809">
        <v>0</v>
      </c>
      <c r="F160" s="809">
        <f t="shared" si="39"/>
        <v>325080.34000000003</v>
      </c>
      <c r="G160" s="437">
        <f t="shared" si="40"/>
        <v>1</v>
      </c>
      <c r="H160" s="421">
        <f t="shared" si="41"/>
        <v>0.49090457251500325</v>
      </c>
      <c r="I160" s="809">
        <f t="shared" si="42"/>
        <v>159583.42534073192</v>
      </c>
      <c r="J160" s="106"/>
      <c r="K160" s="417">
        <f>'[3]Gross Plant'!$C76</f>
        <v>325508.83076923073</v>
      </c>
      <c r="L160" s="438">
        <f t="shared" si="36"/>
        <v>1</v>
      </c>
      <c r="M160" s="421">
        <f t="shared" si="37"/>
        <v>0.49090457251500325</v>
      </c>
      <c r="N160" s="390">
        <f t="shared" si="38"/>
        <v>159793.77341862774</v>
      </c>
      <c r="R160" s="78"/>
    </row>
    <row r="161" spans="1:18">
      <c r="A161" s="260">
        <f t="shared" si="35"/>
        <v>147</v>
      </c>
      <c r="B161" s="416">
        <v>39907</v>
      </c>
      <c r="C161" s="247" t="s">
        <v>520</v>
      </c>
      <c r="D161" s="417">
        <f>'[3]Gross Plant'!$Q77</f>
        <v>74880.070000000007</v>
      </c>
      <c r="E161" s="809">
        <v>0</v>
      </c>
      <c r="F161" s="809">
        <f t="shared" si="39"/>
        <v>74880.070000000007</v>
      </c>
      <c r="G161" s="437">
        <f t="shared" si="40"/>
        <v>1</v>
      </c>
      <c r="H161" s="421">
        <f t="shared" si="41"/>
        <v>0.49090457251500325</v>
      </c>
      <c r="I161" s="809">
        <f t="shared" si="42"/>
        <v>36758.96875324352</v>
      </c>
      <c r="J161" s="106"/>
      <c r="K161" s="417">
        <f>'[3]Gross Plant'!$C77</f>
        <v>74880.070000000036</v>
      </c>
      <c r="L161" s="438">
        <f t="shared" si="36"/>
        <v>1</v>
      </c>
      <c r="M161" s="421">
        <f t="shared" si="37"/>
        <v>0.49090457251500325</v>
      </c>
      <c r="N161" s="390">
        <f t="shared" si="38"/>
        <v>36758.968753243535</v>
      </c>
      <c r="R161" s="78"/>
    </row>
    <row r="162" spans="1:18">
      <c r="A162" s="260">
        <f t="shared" si="35"/>
        <v>148</v>
      </c>
      <c r="B162" s="416">
        <v>39908</v>
      </c>
      <c r="C162" s="247" t="s">
        <v>184</v>
      </c>
      <c r="D162" s="417">
        <f>'[3]Gross Plant'!$Q78</f>
        <v>898473.13</v>
      </c>
      <c r="E162" s="1138">
        <v>0</v>
      </c>
      <c r="F162" s="1138">
        <f t="shared" si="39"/>
        <v>898473.13</v>
      </c>
      <c r="G162" s="437">
        <f t="shared" si="40"/>
        <v>1</v>
      </c>
      <c r="H162" s="421">
        <f t="shared" si="41"/>
        <v>0.49090457251500325</v>
      </c>
      <c r="I162" s="1138">
        <f t="shared" si="42"/>
        <v>441064.56779886695</v>
      </c>
      <c r="J162" s="106"/>
      <c r="K162" s="417">
        <f>'[3]Gross Plant'!$C78</f>
        <v>898421.87230769242</v>
      </c>
      <c r="L162" s="438">
        <f t="shared" si="36"/>
        <v>1</v>
      </c>
      <c r="M162" s="421">
        <f t="shared" si="37"/>
        <v>0.49090457251500325</v>
      </c>
      <c r="N162" s="393">
        <f t="shared" si="38"/>
        <v>441039.4051633366</v>
      </c>
      <c r="R162" s="78"/>
    </row>
    <row r="163" spans="1:18">
      <c r="A163" s="260">
        <f t="shared" si="35"/>
        <v>149</v>
      </c>
      <c r="B163" s="405"/>
      <c r="C163" s="247"/>
      <c r="D163" s="812"/>
      <c r="E163" s="812"/>
      <c r="F163" s="812"/>
      <c r="G163" s="1131"/>
      <c r="H163" s="1131"/>
      <c r="I163" s="812"/>
      <c r="J163" s="106"/>
      <c r="K163" s="812"/>
      <c r="N163" s="789"/>
    </row>
    <row r="164" spans="1:18">
      <c r="A164" s="260">
        <f t="shared" si="35"/>
        <v>150</v>
      </c>
      <c r="B164" s="405"/>
      <c r="C164" s="247" t="s">
        <v>4</v>
      </c>
      <c r="D164" s="462">
        <f>SUM(D147:D163)</f>
        <v>3490543.5199999996</v>
      </c>
      <c r="E164" s="462">
        <f>SUM(E147:E163)</f>
        <v>0</v>
      </c>
      <c r="F164" s="462">
        <f>SUM(F147:F163)</f>
        <v>3490543.5199999996</v>
      </c>
      <c r="G164" s="1131"/>
      <c r="H164" s="1131"/>
      <c r="I164" s="417">
        <f>SUM(I147:I163)</f>
        <v>1713523.7745306145</v>
      </c>
      <c r="J164" s="106"/>
      <c r="K164" s="417">
        <f>SUM(K147:K163)</f>
        <v>3454231.6961538456</v>
      </c>
      <c r="N164" s="417">
        <f>SUM(N147:N163)</f>
        <v>1695698.1341681783</v>
      </c>
    </row>
    <row r="165" spans="1:18">
      <c r="A165" s="260">
        <f t="shared" si="35"/>
        <v>151</v>
      </c>
      <c r="B165" s="405"/>
      <c r="C165" s="247"/>
      <c r="D165" s="106"/>
      <c r="E165" s="106"/>
      <c r="F165" s="106"/>
      <c r="G165" s="1131"/>
      <c r="H165" s="1131"/>
      <c r="I165" s="106"/>
      <c r="J165" s="106"/>
      <c r="K165" s="106"/>
    </row>
    <row r="166" spans="1:18" ht="15.75" thickBot="1">
      <c r="A166" s="260">
        <f t="shared" si="35"/>
        <v>152</v>
      </c>
      <c r="B166" s="405"/>
      <c r="C166" s="247" t="s">
        <v>1363</v>
      </c>
      <c r="D166" s="1139">
        <f>D119+D144+D164</f>
        <v>4785404.47</v>
      </c>
      <c r="E166" s="1139">
        <f>E119+E144+E164</f>
        <v>0</v>
      </c>
      <c r="F166" s="1139">
        <f>F119+F144+F164</f>
        <v>4785404.47</v>
      </c>
      <c r="G166" s="1131"/>
      <c r="H166" s="1131"/>
      <c r="I166" s="1139">
        <f>I119+I144+I164</f>
        <v>2349176.9356567357</v>
      </c>
      <c r="J166" s="106"/>
      <c r="K166" s="1139">
        <f>K119+K144+K164</f>
        <v>4749092.6461538458</v>
      </c>
      <c r="N166" s="415">
        <f>N119+N144+N164</f>
        <v>2331351.2952942993</v>
      </c>
      <c r="P166" s="1058"/>
      <c r="Q166" s="1058"/>
    </row>
    <row r="167" spans="1:18" ht="15.75" thickTop="1">
      <c r="A167" s="260">
        <f t="shared" si="35"/>
        <v>153</v>
      </c>
      <c r="B167" s="405"/>
      <c r="C167" s="247"/>
      <c r="D167" s="417"/>
      <c r="E167" s="417"/>
      <c r="F167" s="417"/>
      <c r="G167" s="1131"/>
      <c r="H167" s="1131"/>
      <c r="I167" s="417"/>
      <c r="J167" s="106"/>
      <c r="K167" s="106"/>
    </row>
    <row r="168" spans="1:18">
      <c r="A168" s="260">
        <f t="shared" si="35"/>
        <v>154</v>
      </c>
      <c r="B168" s="405"/>
      <c r="C168" s="268" t="s">
        <v>766</v>
      </c>
      <c r="D168" s="417">
        <f>'[3]Gross Plant'!Q$179</f>
        <v>-174493.9</v>
      </c>
      <c r="E168" s="417">
        <v>0</v>
      </c>
      <c r="F168" s="417">
        <f>D168+E168</f>
        <v>-174493.9</v>
      </c>
      <c r="G168" s="437">
        <f>$G$16</f>
        <v>1</v>
      </c>
      <c r="H168" s="421">
        <f>$H$116</f>
        <v>0.49090457251500325</v>
      </c>
      <c r="I168" s="417">
        <f>F168*G168*H168</f>
        <v>-85659.853385975715</v>
      </c>
      <c r="J168" s="106"/>
      <c r="K168" s="417">
        <f>'[3]Gross Plant'!C$179</f>
        <v>-222720.82769230765</v>
      </c>
      <c r="L168" s="438">
        <f>G168</f>
        <v>1</v>
      </c>
      <c r="M168" s="422">
        <f>H168</f>
        <v>0.49090457251500325</v>
      </c>
      <c r="N168" s="414">
        <f>K168*L168*M168</f>
        <v>-109334.67270847998</v>
      </c>
    </row>
    <row r="169" spans="1:18">
      <c r="A169" s="260">
        <f t="shared" si="35"/>
        <v>155</v>
      </c>
      <c r="B169" s="405"/>
      <c r="C169" s="106"/>
      <c r="D169" s="106"/>
      <c r="E169" s="106"/>
      <c r="F169" s="106"/>
      <c r="G169" s="1131"/>
      <c r="H169" s="1131"/>
      <c r="I169" s="106"/>
      <c r="J169" s="106"/>
      <c r="K169" s="106"/>
    </row>
    <row r="170" spans="1:18" ht="15.75">
      <c r="A170" s="260">
        <f t="shared" si="35"/>
        <v>156</v>
      </c>
      <c r="B170" s="419" t="s">
        <v>8</v>
      </c>
      <c r="D170" s="106"/>
      <c r="E170" s="106"/>
      <c r="F170" s="106"/>
      <c r="G170" s="1131"/>
      <c r="H170" s="1131"/>
      <c r="I170" s="106"/>
      <c r="J170" s="106"/>
      <c r="K170" s="106"/>
    </row>
    <row r="171" spans="1:18">
      <c r="A171" s="260">
        <f t="shared" si="35"/>
        <v>157</v>
      </c>
      <c r="B171" s="405"/>
      <c r="C171" s="106"/>
      <c r="D171" s="106"/>
      <c r="E171" s="106"/>
      <c r="F171" s="106"/>
      <c r="G171" s="1131"/>
      <c r="H171" s="421"/>
      <c r="I171" s="106"/>
      <c r="J171" s="106"/>
      <c r="K171" s="106"/>
    </row>
    <row r="172" spans="1:18">
      <c r="A172" s="260">
        <f t="shared" si="35"/>
        <v>158</v>
      </c>
      <c r="B172" s="405"/>
      <c r="C172" s="813" t="s">
        <v>309</v>
      </c>
      <c r="D172" s="106"/>
      <c r="E172" s="106"/>
      <c r="F172" s="106"/>
      <c r="G172" s="1131"/>
      <c r="H172" s="1131"/>
      <c r="I172" s="106"/>
      <c r="J172" s="106"/>
      <c r="K172" s="106"/>
    </row>
    <row r="173" spans="1:18" ht="14.25" customHeight="1">
      <c r="A173" s="260">
        <f t="shared" si="35"/>
        <v>159</v>
      </c>
      <c r="B173" s="416">
        <v>39000</v>
      </c>
      <c r="C173" s="311" t="s">
        <v>874</v>
      </c>
      <c r="D173" s="417">
        <f>'[3]Gross Plant'!$Q7</f>
        <v>2230560.7470594803</v>
      </c>
      <c r="E173" s="462">
        <v>0</v>
      </c>
      <c r="F173" s="462">
        <f>D173+E173</f>
        <v>2230560.7470594803</v>
      </c>
      <c r="G173" s="421">
        <f>Allocation!$G$14</f>
        <v>0.1071</v>
      </c>
      <c r="H173" s="421">
        <f>Allocation!$H$14</f>
        <v>0.49090457251500325</v>
      </c>
      <c r="I173" s="462">
        <f>F173*G173*H173</f>
        <v>117273.69353742631</v>
      </c>
      <c r="J173" s="106"/>
      <c r="K173" s="417">
        <f>'[3]Gross Plant'!$C7</f>
        <v>2140299.4738317207</v>
      </c>
      <c r="L173" s="422">
        <f>G173</f>
        <v>0.1071</v>
      </c>
      <c r="M173" s="422">
        <f>H173</f>
        <v>0.49090457251500325</v>
      </c>
      <c r="N173" s="390">
        <f>K173*L173*M173</f>
        <v>112528.1276931584</v>
      </c>
      <c r="R173" s="78"/>
    </row>
    <row r="174" spans="1:18">
      <c r="A174" s="260">
        <f t="shared" si="35"/>
        <v>160</v>
      </c>
      <c r="B174" s="416">
        <v>39005</v>
      </c>
      <c r="C174" s="311" t="s">
        <v>1217</v>
      </c>
      <c r="D174" s="417">
        <f>'[3]Gross Plant'!$Q8</f>
        <v>9199400.5099999998</v>
      </c>
      <c r="E174" s="814">
        <v>0</v>
      </c>
      <c r="F174" s="809">
        <f>D174+E174</f>
        <v>9199400.5099999998</v>
      </c>
      <c r="G174" s="811">
        <v>1</v>
      </c>
      <c r="H174" s="625">
        <f>Allocation!$I$20</f>
        <v>1.5418259551017742E-2</v>
      </c>
      <c r="I174" s="809">
        <f>F174*G174*H174</f>
        <v>141838.74477694498</v>
      </c>
      <c r="J174" s="106"/>
      <c r="K174" s="417">
        <f>'[3]Gross Plant'!$C8</f>
        <v>9199400.5100000016</v>
      </c>
      <c r="L174" s="422">
        <f>G174</f>
        <v>1</v>
      </c>
      <c r="M174" s="422">
        <f>H174</f>
        <v>1.5418259551017742E-2</v>
      </c>
      <c r="N174" s="407">
        <f>K174*L174*M174</f>
        <v>141838.74477694501</v>
      </c>
      <c r="R174" s="78"/>
    </row>
    <row r="175" spans="1:18">
      <c r="A175" s="260">
        <f t="shared" si="35"/>
        <v>161</v>
      </c>
      <c r="B175" s="416">
        <v>39009</v>
      </c>
      <c r="C175" s="311" t="s">
        <v>1056</v>
      </c>
      <c r="D175" s="417">
        <f>'[3]Gross Plant'!$Q9</f>
        <v>9329120.8581342082</v>
      </c>
      <c r="E175" s="814">
        <v>0</v>
      </c>
      <c r="F175" s="809">
        <f t="shared" ref="F175:F196" si="43">D175+E175</f>
        <v>9329120.8581342082</v>
      </c>
      <c r="G175" s="421">
        <f>G173</f>
        <v>0.1071</v>
      </c>
      <c r="H175" s="421">
        <f>H173</f>
        <v>0.49090457251500325</v>
      </c>
      <c r="I175" s="809">
        <f t="shared" ref="I175:I196" si="44">F175*G175*H175</f>
        <v>490486.73609661992</v>
      </c>
      <c r="J175" s="106"/>
      <c r="K175" s="417">
        <f>'[3]Gross Plant'!$C9</f>
        <v>9045765.3137565684</v>
      </c>
      <c r="L175" s="422">
        <f t="shared" ref="L175:L196" si="45">G175</f>
        <v>0.1071</v>
      </c>
      <c r="M175" s="422">
        <f t="shared" ref="M175:M196" si="46">H175</f>
        <v>0.49090457251500325</v>
      </c>
      <c r="N175" s="390">
        <f t="shared" ref="N175:N196" si="47">K175*L175*M175</f>
        <v>475589.0690784583</v>
      </c>
      <c r="R175" s="78"/>
    </row>
    <row r="176" spans="1:18">
      <c r="A176" s="260">
        <f t="shared" si="35"/>
        <v>162</v>
      </c>
      <c r="B176" s="416">
        <v>39100</v>
      </c>
      <c r="C176" s="311" t="s">
        <v>796</v>
      </c>
      <c r="D176" s="417">
        <f>'[3]Gross Plant'!$Q10</f>
        <v>10950155.967517382</v>
      </c>
      <c r="E176" s="814">
        <v>0</v>
      </c>
      <c r="F176" s="809">
        <f t="shared" si="43"/>
        <v>10950155.967517382</v>
      </c>
      <c r="G176" s="421">
        <f t="shared" ref="G176:G189" si="48">G175</f>
        <v>0.1071</v>
      </c>
      <c r="H176" s="421">
        <f t="shared" ref="H176:H178" si="49">H175</f>
        <v>0.49090457251500325</v>
      </c>
      <c r="I176" s="809">
        <f t="shared" si="44"/>
        <v>575714.08302354102</v>
      </c>
      <c r="J176" s="106"/>
      <c r="K176" s="417">
        <f>'[3]Gross Plant'!$C10</f>
        <v>10741092.328815894</v>
      </c>
      <c r="L176" s="422">
        <f t="shared" si="45"/>
        <v>0.1071</v>
      </c>
      <c r="M176" s="422">
        <f t="shared" si="46"/>
        <v>0.49090457251500325</v>
      </c>
      <c r="N176" s="390">
        <f t="shared" si="47"/>
        <v>564722.3783021078</v>
      </c>
      <c r="R176" s="78"/>
    </row>
    <row r="177" spans="1:18">
      <c r="A177" s="260">
        <f t="shared" si="35"/>
        <v>163</v>
      </c>
      <c r="B177" s="416">
        <v>39102</v>
      </c>
      <c r="C177" s="311" t="s">
        <v>542</v>
      </c>
      <c r="D177" s="417">
        <f>'[3]Gross Plant'!$Q11</f>
        <v>0</v>
      </c>
      <c r="E177" s="814">
        <v>0</v>
      </c>
      <c r="F177" s="809">
        <f t="shared" si="43"/>
        <v>0</v>
      </c>
      <c r="G177" s="421">
        <f t="shared" si="48"/>
        <v>0.1071</v>
      </c>
      <c r="H177" s="421">
        <f t="shared" si="49"/>
        <v>0.49090457251500325</v>
      </c>
      <c r="I177" s="809">
        <f t="shared" si="44"/>
        <v>0</v>
      </c>
      <c r="J177" s="106"/>
      <c r="K177" s="417">
        <f>'[3]Gross Plant'!$C11</f>
        <v>0</v>
      </c>
      <c r="L177" s="422">
        <f t="shared" si="45"/>
        <v>0.1071</v>
      </c>
      <c r="M177" s="422">
        <f t="shared" si="46"/>
        <v>0.49090457251500325</v>
      </c>
      <c r="N177" s="390">
        <f t="shared" si="47"/>
        <v>0</v>
      </c>
      <c r="R177" s="78"/>
    </row>
    <row r="178" spans="1:18">
      <c r="A178" s="260">
        <f t="shared" si="35"/>
        <v>164</v>
      </c>
      <c r="B178" s="416">
        <v>39103</v>
      </c>
      <c r="C178" s="311" t="s">
        <v>797</v>
      </c>
      <c r="D178" s="417">
        <f>'[3]Gross Plant'!$Q12</f>
        <v>0</v>
      </c>
      <c r="E178" s="814">
        <v>0</v>
      </c>
      <c r="F178" s="809">
        <f t="shared" si="43"/>
        <v>0</v>
      </c>
      <c r="G178" s="421">
        <f t="shared" si="48"/>
        <v>0.1071</v>
      </c>
      <c r="H178" s="421">
        <f t="shared" si="49"/>
        <v>0.49090457251500325</v>
      </c>
      <c r="I178" s="809">
        <f t="shared" si="44"/>
        <v>0</v>
      </c>
      <c r="J178" s="106"/>
      <c r="K178" s="417">
        <f>'[3]Gross Plant'!$C12</f>
        <v>0</v>
      </c>
      <c r="L178" s="422">
        <f t="shared" si="45"/>
        <v>0.1071</v>
      </c>
      <c r="M178" s="422">
        <f t="shared" si="46"/>
        <v>0.49090457251500325</v>
      </c>
      <c r="N178" s="390">
        <f t="shared" si="47"/>
        <v>0</v>
      </c>
      <c r="R178" s="78"/>
    </row>
    <row r="179" spans="1:18">
      <c r="A179" s="260">
        <f t="shared" si="35"/>
        <v>165</v>
      </c>
      <c r="B179" s="416">
        <v>39104</v>
      </c>
      <c r="C179" s="311" t="s">
        <v>1218</v>
      </c>
      <c r="D179" s="417">
        <f>'[3]Gross Plant'!$Q13</f>
        <v>63740.85</v>
      </c>
      <c r="E179" s="814">
        <v>0</v>
      </c>
      <c r="F179" s="809">
        <f t="shared" ref="F179" si="50">D179+E179</f>
        <v>63740.85</v>
      </c>
      <c r="G179" s="811">
        <v>1</v>
      </c>
      <c r="H179" s="625">
        <f>$H$174</f>
        <v>1.5418259551017742E-2</v>
      </c>
      <c r="I179" s="809">
        <f t="shared" ref="I179" si="51">F179*G179*H179</f>
        <v>982.77296930248917</v>
      </c>
      <c r="J179" s="106"/>
      <c r="K179" s="417">
        <f>'[3]Gross Plant'!$C13</f>
        <v>63740.849999999984</v>
      </c>
      <c r="L179" s="422">
        <f t="shared" ref="L179" si="52">G179</f>
        <v>1</v>
      </c>
      <c r="M179" s="422">
        <f t="shared" ref="M179" si="53">H179</f>
        <v>1.5418259551017742E-2</v>
      </c>
      <c r="N179" s="390">
        <f t="shared" ref="N179" si="54">K179*L179*M179</f>
        <v>982.77296930248895</v>
      </c>
      <c r="R179" s="78"/>
    </row>
    <row r="180" spans="1:18">
      <c r="A180" s="260">
        <f t="shared" si="35"/>
        <v>166</v>
      </c>
      <c r="B180" s="416">
        <v>39200</v>
      </c>
      <c r="C180" s="311" t="s">
        <v>1096</v>
      </c>
      <c r="D180" s="417">
        <f>'[3]Gross Plant'!$Q14</f>
        <v>103415.63</v>
      </c>
      <c r="E180" s="814">
        <v>0</v>
      </c>
      <c r="F180" s="809">
        <f t="shared" si="43"/>
        <v>103415.63</v>
      </c>
      <c r="G180" s="421">
        <f>G178</f>
        <v>0.1071</v>
      </c>
      <c r="H180" s="421">
        <f>H178</f>
        <v>0.49090457251500325</v>
      </c>
      <c r="I180" s="809">
        <f t="shared" si="44"/>
        <v>5437.1677236712649</v>
      </c>
      <c r="J180" s="106"/>
      <c r="K180" s="417">
        <f>'[3]Gross Plant'!$C14</f>
        <v>103415.62999999999</v>
      </c>
      <c r="L180" s="422">
        <f t="shared" si="45"/>
        <v>0.1071</v>
      </c>
      <c r="M180" s="422">
        <f t="shared" si="46"/>
        <v>0.49090457251500325</v>
      </c>
      <c r="N180" s="390">
        <f t="shared" si="47"/>
        <v>5437.167723671264</v>
      </c>
      <c r="R180" s="78"/>
    </row>
    <row r="181" spans="1:18">
      <c r="A181" s="260">
        <f t="shared" si="35"/>
        <v>167</v>
      </c>
      <c r="B181" s="416">
        <v>39300</v>
      </c>
      <c r="C181" s="311" t="s">
        <v>665</v>
      </c>
      <c r="D181" s="417">
        <f>'[3]Gross Plant'!$Q15</f>
        <v>0</v>
      </c>
      <c r="E181" s="814">
        <v>0</v>
      </c>
      <c r="F181" s="809">
        <f t="shared" si="43"/>
        <v>0</v>
      </c>
      <c r="G181" s="421">
        <f t="shared" si="48"/>
        <v>0.1071</v>
      </c>
      <c r="H181" s="421">
        <f t="shared" ref="H181:H194" si="55">H180</f>
        <v>0.49090457251500325</v>
      </c>
      <c r="I181" s="809">
        <f t="shared" si="44"/>
        <v>0</v>
      </c>
      <c r="J181" s="106"/>
      <c r="K181" s="417">
        <f>'[3]Gross Plant'!$C15</f>
        <v>0</v>
      </c>
      <c r="L181" s="422">
        <f t="shared" si="45"/>
        <v>0.1071</v>
      </c>
      <c r="M181" s="422">
        <f t="shared" si="46"/>
        <v>0.49090457251500325</v>
      </c>
      <c r="N181" s="390">
        <f t="shared" si="47"/>
        <v>0</v>
      </c>
      <c r="R181" s="78"/>
    </row>
    <row r="182" spans="1:18">
      <c r="A182" s="260">
        <f t="shared" si="35"/>
        <v>168</v>
      </c>
      <c r="B182" s="416">
        <v>39400</v>
      </c>
      <c r="C182" s="311" t="s">
        <v>1055</v>
      </c>
      <c r="D182" s="417">
        <f>'[3]Gross Plant'!$Q16</f>
        <v>1049336.8564099839</v>
      </c>
      <c r="E182" s="814">
        <v>0</v>
      </c>
      <c r="F182" s="809">
        <f t="shared" si="43"/>
        <v>1049336.8564099839</v>
      </c>
      <c r="G182" s="421">
        <f t="shared" si="48"/>
        <v>0.1071</v>
      </c>
      <c r="H182" s="421">
        <f t="shared" si="55"/>
        <v>0.49090457251500325</v>
      </c>
      <c r="I182" s="809">
        <f t="shared" si="44"/>
        <v>55169.808344551333</v>
      </c>
      <c r="J182" s="106"/>
      <c r="K182" s="417">
        <f>'[3]Gross Plant'!$C16</f>
        <v>562258.4366982003</v>
      </c>
      <c r="L182" s="422">
        <f t="shared" si="45"/>
        <v>0.1071</v>
      </c>
      <c r="M182" s="422">
        <f t="shared" si="46"/>
        <v>0.49090457251500325</v>
      </c>
      <c r="N182" s="390">
        <f t="shared" si="47"/>
        <v>29561.231937351418</v>
      </c>
      <c r="R182" s="78"/>
    </row>
    <row r="183" spans="1:18">
      <c r="A183" s="260">
        <f t="shared" si="35"/>
        <v>169</v>
      </c>
      <c r="B183" s="416">
        <v>39500</v>
      </c>
      <c r="C183" s="247" t="s">
        <v>1219</v>
      </c>
      <c r="D183" s="417">
        <f>'[3]Gross Plant'!$Q17</f>
        <v>23632.07</v>
      </c>
      <c r="E183" s="814">
        <v>0</v>
      </c>
      <c r="F183" s="809">
        <f t="shared" si="43"/>
        <v>23632.07</v>
      </c>
      <c r="G183" s="421">
        <f t="shared" si="48"/>
        <v>0.1071</v>
      </c>
      <c r="H183" s="421">
        <f t="shared" si="55"/>
        <v>0.49090457251500325</v>
      </c>
      <c r="I183" s="809">
        <f t="shared" si="44"/>
        <v>1242.4768697685251</v>
      </c>
      <c r="J183" s="106"/>
      <c r="K183" s="417">
        <f>'[3]Gross Plant'!$C17</f>
        <v>23632.070000000003</v>
      </c>
      <c r="L183" s="422">
        <f t="shared" si="45"/>
        <v>0.1071</v>
      </c>
      <c r="M183" s="422">
        <f t="shared" si="46"/>
        <v>0.49090457251500325</v>
      </c>
      <c r="N183" s="390">
        <f t="shared" si="47"/>
        <v>1242.4768697685254</v>
      </c>
      <c r="R183" s="78"/>
    </row>
    <row r="184" spans="1:18">
      <c r="A184" s="260">
        <f t="shared" si="35"/>
        <v>170</v>
      </c>
      <c r="B184" s="416">
        <v>39700</v>
      </c>
      <c r="C184" s="247" t="s">
        <v>454</v>
      </c>
      <c r="D184" s="417">
        <f>'[3]Gross Plant'!$Q18</f>
        <v>2495926.1015874753</v>
      </c>
      <c r="E184" s="814">
        <v>0</v>
      </c>
      <c r="F184" s="809">
        <f t="shared" si="43"/>
        <v>2495926.1015874753</v>
      </c>
      <c r="G184" s="421">
        <f t="shared" si="48"/>
        <v>0.1071</v>
      </c>
      <c r="H184" s="421">
        <f t="shared" si="55"/>
        <v>0.49090457251500325</v>
      </c>
      <c r="I184" s="809">
        <f t="shared" si="44"/>
        <v>131225.51049797857</v>
      </c>
      <c r="J184" s="106"/>
      <c r="K184" s="417">
        <f>'[3]Gross Plant'!$C18</f>
        <v>2462183.1836521951</v>
      </c>
      <c r="L184" s="422">
        <f t="shared" si="45"/>
        <v>0.1071</v>
      </c>
      <c r="M184" s="422">
        <f t="shared" si="46"/>
        <v>0.49090457251500325</v>
      </c>
      <c r="N184" s="390">
        <f t="shared" si="47"/>
        <v>129451.44690333436</v>
      </c>
      <c r="R184" s="78"/>
    </row>
    <row r="185" spans="1:18">
      <c r="A185" s="260">
        <f t="shared" si="35"/>
        <v>171</v>
      </c>
      <c r="B185" s="416">
        <v>39800</v>
      </c>
      <c r="C185" s="247" t="s">
        <v>666</v>
      </c>
      <c r="D185" s="417">
        <f>'[3]Gross Plant'!$Q19</f>
        <v>521026.23296276445</v>
      </c>
      <c r="E185" s="814">
        <v>0</v>
      </c>
      <c r="F185" s="809">
        <f t="shared" si="43"/>
        <v>521026.23296276445</v>
      </c>
      <c r="G185" s="421">
        <f t="shared" si="48"/>
        <v>0.1071</v>
      </c>
      <c r="H185" s="421">
        <f t="shared" si="55"/>
        <v>0.49090457251500325</v>
      </c>
      <c r="I185" s="809">
        <f t="shared" si="44"/>
        <v>27393.412553316823</v>
      </c>
      <c r="J185" s="106"/>
      <c r="K185" s="417">
        <f>'[3]Gross Plant'!$C19</f>
        <v>494198.30434448115</v>
      </c>
      <c r="L185" s="422">
        <f t="shared" si="45"/>
        <v>0.1071</v>
      </c>
      <c r="M185" s="422">
        <f t="shared" si="46"/>
        <v>0.49090457251500325</v>
      </c>
      <c r="N185" s="390">
        <f t="shared" si="47"/>
        <v>25982.910605242952</v>
      </c>
      <c r="R185" s="78"/>
    </row>
    <row r="186" spans="1:18">
      <c r="A186" s="260">
        <f t="shared" si="35"/>
        <v>172</v>
      </c>
      <c r="B186" s="416">
        <v>39900</v>
      </c>
      <c r="C186" s="247" t="s">
        <v>1173</v>
      </c>
      <c r="D186" s="417">
        <f>'[3]Gross Plant'!$Q20</f>
        <v>168103.3</v>
      </c>
      <c r="E186" s="814">
        <v>0</v>
      </c>
      <c r="F186" s="809">
        <f t="shared" si="43"/>
        <v>168103.3</v>
      </c>
      <c r="G186" s="421">
        <f t="shared" si="48"/>
        <v>0.1071</v>
      </c>
      <c r="H186" s="421">
        <f t="shared" si="55"/>
        <v>0.49090457251500325</v>
      </c>
      <c r="I186" s="809">
        <f t="shared" si="44"/>
        <v>8838.1788807226494</v>
      </c>
      <c r="J186" s="106"/>
      <c r="K186" s="417">
        <f>'[3]Gross Plant'!$C20</f>
        <v>168103.30000000002</v>
      </c>
      <c r="L186" s="422">
        <f t="shared" si="45"/>
        <v>0.1071</v>
      </c>
      <c r="M186" s="422">
        <f t="shared" si="46"/>
        <v>0.49090457251500325</v>
      </c>
      <c r="N186" s="390">
        <f t="shared" si="47"/>
        <v>8838.1788807226512</v>
      </c>
      <c r="R186" s="78"/>
    </row>
    <row r="187" spans="1:18">
      <c r="A187" s="260">
        <f t="shared" si="35"/>
        <v>173</v>
      </c>
      <c r="B187" s="416">
        <v>39901</v>
      </c>
      <c r="C187" s="247" t="s">
        <v>489</v>
      </c>
      <c r="D187" s="417">
        <f>'[3]Gross Plant'!$Q21</f>
        <v>30909579.954134185</v>
      </c>
      <c r="E187" s="814">
        <v>0</v>
      </c>
      <c r="F187" s="809">
        <f t="shared" si="43"/>
        <v>30909579.954134185</v>
      </c>
      <c r="G187" s="421">
        <f t="shared" si="48"/>
        <v>0.1071</v>
      </c>
      <c r="H187" s="421">
        <f t="shared" si="55"/>
        <v>0.49090457251500325</v>
      </c>
      <c r="I187" s="809">
        <f t="shared" si="44"/>
        <v>1625098.3577516738</v>
      </c>
      <c r="J187" s="106"/>
      <c r="K187" s="417">
        <f>'[3]Gross Plant'!$C21</f>
        <v>33700826.620460212</v>
      </c>
      <c r="L187" s="422">
        <f t="shared" si="45"/>
        <v>0.1071</v>
      </c>
      <c r="M187" s="422">
        <f t="shared" si="46"/>
        <v>0.49090457251500325</v>
      </c>
      <c r="N187" s="390">
        <f t="shared" si="47"/>
        <v>1771850.6067391131</v>
      </c>
      <c r="R187" s="78"/>
    </row>
    <row r="188" spans="1:18">
      <c r="A188" s="260">
        <f t="shared" si="35"/>
        <v>174</v>
      </c>
      <c r="B188" s="416">
        <v>39902</v>
      </c>
      <c r="C188" s="247" t="s">
        <v>979</v>
      </c>
      <c r="D188" s="417">
        <f>'[3]Gross Plant'!$Q22</f>
        <v>18166047.586874023</v>
      </c>
      <c r="E188" s="814">
        <v>0</v>
      </c>
      <c r="F188" s="809">
        <f t="shared" si="43"/>
        <v>18166047.586874023</v>
      </c>
      <c r="G188" s="421">
        <f t="shared" si="48"/>
        <v>0.1071</v>
      </c>
      <c r="H188" s="421">
        <f t="shared" si="55"/>
        <v>0.49090457251500325</v>
      </c>
      <c r="I188" s="809">
        <f t="shared" si="44"/>
        <v>955095.93284910324</v>
      </c>
      <c r="J188" s="106"/>
      <c r="K188" s="417">
        <f>'[3]Gross Plant'!$C22</f>
        <v>17259544.894479014</v>
      </c>
      <c r="L188" s="422">
        <f t="shared" si="45"/>
        <v>0.1071</v>
      </c>
      <c r="M188" s="422">
        <f t="shared" si="46"/>
        <v>0.49090457251500325</v>
      </c>
      <c r="N188" s="390">
        <f t="shared" si="47"/>
        <v>907435.75633118965</v>
      </c>
      <c r="R188" s="78"/>
    </row>
    <row r="189" spans="1:18">
      <c r="A189" s="260">
        <f t="shared" si="35"/>
        <v>175</v>
      </c>
      <c r="B189" s="416">
        <v>39903</v>
      </c>
      <c r="C189" s="247" t="s">
        <v>1022</v>
      </c>
      <c r="D189" s="417">
        <f>'[3]Gross Plant'!$Q23</f>
        <v>3330569.4434632468</v>
      </c>
      <c r="E189" s="814">
        <v>0</v>
      </c>
      <c r="F189" s="809">
        <f t="shared" si="43"/>
        <v>3330569.4434632468</v>
      </c>
      <c r="G189" s="421">
        <f t="shared" si="48"/>
        <v>0.1071</v>
      </c>
      <c r="H189" s="421">
        <f t="shared" si="55"/>
        <v>0.49090457251500325</v>
      </c>
      <c r="I189" s="809">
        <f t="shared" si="44"/>
        <v>175107.61844649725</v>
      </c>
      <c r="J189" s="106"/>
      <c r="K189" s="417">
        <f>'[3]Gross Plant'!$C23</f>
        <v>3276745.7011825535</v>
      </c>
      <c r="L189" s="422">
        <f t="shared" si="45"/>
        <v>0.1071</v>
      </c>
      <c r="M189" s="422">
        <f t="shared" si="46"/>
        <v>0.49090457251500325</v>
      </c>
      <c r="N189" s="390">
        <f t="shared" si="47"/>
        <v>172277.78784646332</v>
      </c>
      <c r="R189" s="78"/>
    </row>
    <row r="190" spans="1:18">
      <c r="A190" s="260">
        <f t="shared" si="35"/>
        <v>176</v>
      </c>
      <c r="B190" s="416">
        <v>39904</v>
      </c>
      <c r="C190" s="247" t="s">
        <v>1198</v>
      </c>
      <c r="D190" s="417">
        <f>'[3]Gross Plant'!$Q24</f>
        <v>0</v>
      </c>
      <c r="E190" s="814">
        <v>0</v>
      </c>
      <c r="F190" s="809">
        <f t="shared" si="43"/>
        <v>0</v>
      </c>
      <c r="G190" s="421">
        <f t="shared" ref="G190:G194" si="56">G189</f>
        <v>0.1071</v>
      </c>
      <c r="H190" s="421">
        <f t="shared" si="55"/>
        <v>0.49090457251500325</v>
      </c>
      <c r="I190" s="809">
        <f t="shared" si="44"/>
        <v>0</v>
      </c>
      <c r="J190" s="106"/>
      <c r="K190" s="417">
        <f>'[3]Gross Plant'!$C24</f>
        <v>0</v>
      </c>
      <c r="L190" s="422">
        <f t="shared" si="45"/>
        <v>0.1071</v>
      </c>
      <c r="M190" s="422">
        <f t="shared" si="46"/>
        <v>0.49090457251500325</v>
      </c>
      <c r="N190" s="390">
        <f t="shared" si="47"/>
        <v>0</v>
      </c>
      <c r="R190" s="78"/>
    </row>
    <row r="191" spans="1:18">
      <c r="A191" s="260">
        <f t="shared" si="35"/>
        <v>177</v>
      </c>
      <c r="B191" s="416">
        <v>39905</v>
      </c>
      <c r="C191" s="247" t="s">
        <v>512</v>
      </c>
      <c r="D191" s="417">
        <f>'[3]Gross Plant'!$Q25</f>
        <v>0</v>
      </c>
      <c r="E191" s="814">
        <v>0</v>
      </c>
      <c r="F191" s="809">
        <f t="shared" si="43"/>
        <v>0</v>
      </c>
      <c r="G191" s="421">
        <f t="shared" si="56"/>
        <v>0.1071</v>
      </c>
      <c r="H191" s="421">
        <f t="shared" si="55"/>
        <v>0.49090457251500325</v>
      </c>
      <c r="I191" s="809">
        <f t="shared" si="44"/>
        <v>0</v>
      </c>
      <c r="J191" s="106"/>
      <c r="K191" s="417">
        <f>'[3]Gross Plant'!$C25</f>
        <v>0</v>
      </c>
      <c r="L191" s="422">
        <f t="shared" si="45"/>
        <v>0.1071</v>
      </c>
      <c r="M191" s="422">
        <f t="shared" si="46"/>
        <v>0.49090457251500325</v>
      </c>
      <c r="N191" s="390">
        <f t="shared" si="47"/>
        <v>0</v>
      </c>
      <c r="R191" s="78"/>
    </row>
    <row r="192" spans="1:18">
      <c r="A192" s="260">
        <f t="shared" si="35"/>
        <v>178</v>
      </c>
      <c r="B192" s="416">
        <v>39906</v>
      </c>
      <c r="C192" s="247" t="s">
        <v>465</v>
      </c>
      <c r="D192" s="417">
        <f>'[3]Gross Plant'!$Q26</f>
        <v>1989498.9341145784</v>
      </c>
      <c r="E192" s="814">
        <v>0</v>
      </c>
      <c r="F192" s="809">
        <f t="shared" si="43"/>
        <v>1989498.9341145784</v>
      </c>
      <c r="G192" s="421">
        <f t="shared" si="56"/>
        <v>0.1071</v>
      </c>
      <c r="H192" s="421">
        <f t="shared" si="55"/>
        <v>0.49090457251500325</v>
      </c>
      <c r="I192" s="809">
        <f t="shared" si="44"/>
        <v>104599.65665582824</v>
      </c>
      <c r="J192" s="106"/>
      <c r="K192" s="417">
        <f>'[3]Gross Plant'!$C26</f>
        <v>2091363.2078301439</v>
      </c>
      <c r="L192" s="422">
        <f t="shared" si="45"/>
        <v>0.1071</v>
      </c>
      <c r="M192" s="422">
        <f t="shared" si="46"/>
        <v>0.49090457251500325</v>
      </c>
      <c r="N192" s="390">
        <f t="shared" si="47"/>
        <v>109955.26045809184</v>
      </c>
      <c r="R192" s="78"/>
    </row>
    <row r="193" spans="1:18">
      <c r="A193" s="260">
        <f t="shared" si="35"/>
        <v>179</v>
      </c>
      <c r="B193" s="416">
        <v>39907</v>
      </c>
      <c r="C193" s="247" t="s">
        <v>520</v>
      </c>
      <c r="D193" s="417">
        <f>'[3]Gross Plant'!$Q27</f>
        <v>686152.06007096497</v>
      </c>
      <c r="E193" s="814">
        <v>0</v>
      </c>
      <c r="F193" s="809">
        <f t="shared" si="43"/>
        <v>686152.06007096497</v>
      </c>
      <c r="G193" s="421">
        <f t="shared" si="56"/>
        <v>0.1071</v>
      </c>
      <c r="H193" s="421">
        <f t="shared" si="55"/>
        <v>0.49090457251500325</v>
      </c>
      <c r="I193" s="809">
        <f t="shared" si="44"/>
        <v>36075.048177421515</v>
      </c>
      <c r="J193" s="106"/>
      <c r="K193" s="417">
        <f>'[3]Gross Plant'!$C27</f>
        <v>812062.24132178293</v>
      </c>
      <c r="L193" s="422">
        <f t="shared" si="45"/>
        <v>0.1071</v>
      </c>
      <c r="M193" s="422">
        <f t="shared" si="46"/>
        <v>0.49090457251500325</v>
      </c>
      <c r="N193" s="390">
        <f t="shared" si="47"/>
        <v>42694.886721929208</v>
      </c>
      <c r="R193" s="78"/>
    </row>
    <row r="194" spans="1:18">
      <c r="A194" s="260">
        <f t="shared" si="35"/>
        <v>180</v>
      </c>
      <c r="B194" s="416">
        <v>39908</v>
      </c>
      <c r="C194" s="247" t="s">
        <v>184</v>
      </c>
      <c r="D194" s="417">
        <f>'[3]Gross Plant'!$Q28</f>
        <v>111795225.84767172</v>
      </c>
      <c r="E194" s="814">
        <v>0</v>
      </c>
      <c r="F194" s="809">
        <f t="shared" si="43"/>
        <v>111795225.84767172</v>
      </c>
      <c r="G194" s="421">
        <f t="shared" si="56"/>
        <v>0.1071</v>
      </c>
      <c r="H194" s="421">
        <f t="shared" si="55"/>
        <v>0.49090457251500325</v>
      </c>
      <c r="I194" s="809">
        <f t="shared" si="44"/>
        <v>5877732.3470301367</v>
      </c>
      <c r="J194" s="106"/>
      <c r="K194" s="417">
        <f>'[3]Gross Plant'!$C28</f>
        <v>102519988.00516573</v>
      </c>
      <c r="L194" s="422">
        <f t="shared" si="45"/>
        <v>0.1071</v>
      </c>
      <c r="M194" s="422">
        <f t="shared" si="46"/>
        <v>0.49090457251500325</v>
      </c>
      <c r="N194" s="390">
        <f t="shared" si="47"/>
        <v>5390078.5578819402</v>
      </c>
      <c r="R194" s="78"/>
    </row>
    <row r="195" spans="1:18">
      <c r="A195" s="260">
        <f t="shared" si="35"/>
        <v>181</v>
      </c>
      <c r="B195" s="416">
        <v>39909</v>
      </c>
      <c r="C195" s="247" t="s">
        <v>352</v>
      </c>
      <c r="D195" s="417">
        <f>'[3]Gross Plant'!$Q29</f>
        <v>982650.37</v>
      </c>
      <c r="E195" s="814">
        <v>0</v>
      </c>
      <c r="F195" s="809">
        <f t="shared" ref="F195" si="57">D195+E195</f>
        <v>982650.37</v>
      </c>
      <c r="G195" s="421">
        <f>G193</f>
        <v>0.1071</v>
      </c>
      <c r="H195" s="421">
        <f>H193</f>
        <v>0.49090457251500325</v>
      </c>
      <c r="I195" s="809">
        <f t="shared" ref="I195" si="58">F195*G195*H195</f>
        <v>51663.707656353545</v>
      </c>
      <c r="J195" s="106"/>
      <c r="K195" s="417">
        <f>'[3]Gross Plant'!$C29</f>
        <v>993258.83153846127</v>
      </c>
      <c r="L195" s="422">
        <f t="shared" ref="L195" si="59">G195</f>
        <v>0.1071</v>
      </c>
      <c r="M195" s="422">
        <f t="shared" ref="M195" si="60">H195</f>
        <v>0.49090457251500325</v>
      </c>
      <c r="N195" s="390">
        <f t="shared" ref="N195" si="61">K195*L195*M195</f>
        <v>52221.456854175289</v>
      </c>
      <c r="R195" s="78"/>
    </row>
    <row r="196" spans="1:18">
      <c r="A196" s="260">
        <f t="shared" si="35"/>
        <v>182</v>
      </c>
      <c r="B196" s="416">
        <v>39924</v>
      </c>
      <c r="C196" s="247" t="s">
        <v>1456</v>
      </c>
      <c r="D196" s="417">
        <f>'[3]Gross Plant'!$Q30</f>
        <v>0</v>
      </c>
      <c r="E196" s="814">
        <v>0</v>
      </c>
      <c r="F196" s="809">
        <f t="shared" si="43"/>
        <v>0</v>
      </c>
      <c r="G196" s="421">
        <f>G194</f>
        <v>0.1071</v>
      </c>
      <c r="H196" s="421">
        <f>H194</f>
        <v>0.49090457251500325</v>
      </c>
      <c r="I196" s="809">
        <f t="shared" si="44"/>
        <v>0</v>
      </c>
      <c r="J196" s="106"/>
      <c r="K196" s="417">
        <f>'[3]Gross Plant'!$C30</f>
        <v>0</v>
      </c>
      <c r="L196" s="422">
        <f t="shared" si="45"/>
        <v>0.1071</v>
      </c>
      <c r="M196" s="422">
        <f t="shared" si="46"/>
        <v>0.49090457251500325</v>
      </c>
      <c r="N196" s="390">
        <f t="shared" si="47"/>
        <v>0</v>
      </c>
      <c r="R196" s="78"/>
    </row>
    <row r="197" spans="1:18">
      <c r="A197" s="260">
        <f t="shared" si="35"/>
        <v>183</v>
      </c>
      <c r="B197" s="405"/>
      <c r="C197" s="247"/>
      <c r="D197" s="812"/>
      <c r="E197" s="812"/>
      <c r="F197" s="812"/>
      <c r="G197" s="1131"/>
      <c r="H197" s="421"/>
      <c r="I197" s="106"/>
      <c r="J197" s="106"/>
      <c r="K197" s="812"/>
      <c r="N197" s="789"/>
    </row>
    <row r="198" spans="1:18" ht="15.75" thickBot="1">
      <c r="A198" s="260">
        <f t="shared" si="35"/>
        <v>184</v>
      </c>
      <c r="B198" s="405"/>
      <c r="C198" s="247" t="s">
        <v>1365</v>
      </c>
      <c r="D198" s="681">
        <f>SUM(D173:D196)</f>
        <v>203994143.31999999</v>
      </c>
      <c r="E198" s="681">
        <f>SUM(E173:E196)</f>
        <v>0</v>
      </c>
      <c r="F198" s="681">
        <f>SUM(F173:F196)</f>
        <v>203994143.31999999</v>
      </c>
      <c r="G198" s="1140"/>
      <c r="H198" s="1140"/>
      <c r="I198" s="681">
        <f>SUM(I173:I196)</f>
        <v>10380975.253840858</v>
      </c>
      <c r="J198" s="1085"/>
      <c r="K198" s="681">
        <f>SUM(K173:K196)</f>
        <v>195657878.90307698</v>
      </c>
      <c r="L198" s="91"/>
      <c r="M198" s="91"/>
      <c r="N198" s="681">
        <f>SUM(N173:N196)</f>
        <v>9942688.8185729682</v>
      </c>
      <c r="P198" s="1058"/>
      <c r="Q198" s="1058"/>
    </row>
    <row r="199" spans="1:18" ht="15.75" thickTop="1">
      <c r="A199" s="260">
        <f t="shared" si="35"/>
        <v>185</v>
      </c>
      <c r="B199" s="405"/>
      <c r="C199" s="247"/>
      <c r="D199" s="417"/>
      <c r="E199" s="417"/>
      <c r="F199" s="417"/>
      <c r="G199" s="1131"/>
      <c r="H199" s="1131"/>
      <c r="I199" s="417"/>
      <c r="J199" s="106"/>
      <c r="K199" s="106"/>
    </row>
    <row r="200" spans="1:18">
      <c r="A200" s="260">
        <f t="shared" si="35"/>
        <v>186</v>
      </c>
      <c r="B200" s="405"/>
      <c r="C200" s="268" t="s">
        <v>766</v>
      </c>
      <c r="D200" s="417">
        <f>'[3]Gross Plant'!$Q183</f>
        <v>14123020.170000006</v>
      </c>
      <c r="E200" s="417">
        <v>0</v>
      </c>
      <c r="F200" s="417">
        <f>D200+E200</f>
        <v>14123020.170000006</v>
      </c>
      <c r="G200" s="421">
        <f>G196</f>
        <v>0.1071</v>
      </c>
      <c r="H200" s="421">
        <f>H196</f>
        <v>0.49090457251500325</v>
      </c>
      <c r="I200" s="417">
        <f>F200*G200*H200</f>
        <v>742530.20968960191</v>
      </c>
      <c r="J200" s="106"/>
      <c r="K200" s="417">
        <f>'[3]Gross Plant'!$C183</f>
        <v>13742968.581538467</v>
      </c>
      <c r="L200" s="422">
        <f>G200</f>
        <v>0.1071</v>
      </c>
      <c r="M200" s="422">
        <f>H200</f>
        <v>0.49090457251500325</v>
      </c>
      <c r="N200" s="414">
        <f>K200*L200*M200</f>
        <v>722548.66308863764</v>
      </c>
    </row>
    <row r="201" spans="1:18">
      <c r="A201" s="260">
        <f t="shared" si="35"/>
        <v>187</v>
      </c>
      <c r="B201" s="405"/>
      <c r="C201" s="106"/>
      <c r="D201" s="106"/>
      <c r="E201" s="106"/>
      <c r="F201" s="106"/>
      <c r="G201" s="1131"/>
      <c r="H201" s="1131"/>
      <c r="I201" s="106"/>
      <c r="J201" s="106"/>
      <c r="K201" s="106"/>
    </row>
    <row r="202" spans="1:18" ht="15.75">
      <c r="A202" s="260">
        <f t="shared" si="35"/>
        <v>188</v>
      </c>
      <c r="B202" s="419" t="s">
        <v>9</v>
      </c>
      <c r="C202" s="106"/>
      <c r="D202" s="106"/>
      <c r="E202" s="106"/>
      <c r="F202" s="106"/>
      <c r="G202" s="1131"/>
      <c r="H202" s="1131"/>
      <c r="I202" s="106"/>
      <c r="J202" s="106"/>
      <c r="K202" s="106"/>
    </row>
    <row r="203" spans="1:18">
      <c r="A203" s="260">
        <f t="shared" si="35"/>
        <v>189</v>
      </c>
      <c r="B203" s="405"/>
      <c r="C203" s="106"/>
      <c r="D203" s="106"/>
      <c r="E203" s="106"/>
      <c r="F203" s="106"/>
      <c r="G203" s="1131"/>
      <c r="H203" s="1131"/>
      <c r="I203" s="106"/>
      <c r="J203" s="106"/>
      <c r="K203" s="106"/>
    </row>
    <row r="204" spans="1:18">
      <c r="A204" s="260">
        <f t="shared" si="35"/>
        <v>190</v>
      </c>
      <c r="B204" s="405"/>
      <c r="C204" s="813" t="s">
        <v>309</v>
      </c>
      <c r="D204" s="106"/>
      <c r="E204" s="106"/>
      <c r="F204" s="106"/>
      <c r="G204" s="1131"/>
      <c r="H204" s="1131"/>
      <c r="I204" s="106"/>
      <c r="J204" s="106"/>
      <c r="K204" s="106"/>
    </row>
    <row r="205" spans="1:18">
      <c r="A205" s="260">
        <f t="shared" si="35"/>
        <v>191</v>
      </c>
      <c r="B205" s="416">
        <v>38900</v>
      </c>
      <c r="C205" s="311" t="s">
        <v>300</v>
      </c>
      <c r="D205" s="417">
        <f>'[3]Gross Plant'!$Q36</f>
        <v>2874239.86</v>
      </c>
      <c r="E205" s="462">
        <v>0</v>
      </c>
      <c r="F205" s="462">
        <f>D205+E205</f>
        <v>2874239.86</v>
      </c>
      <c r="G205" s="421">
        <f>Allocation!$G$15</f>
        <v>0.1086</v>
      </c>
      <c r="H205" s="421">
        <f>Allocation!$H$15</f>
        <v>0.52599015110063552</v>
      </c>
      <c r="I205" s="462">
        <f>F205*G205*H205</f>
        <v>164183.85380713042</v>
      </c>
      <c r="J205" s="106"/>
      <c r="K205" s="417">
        <f>'[3]Gross Plant'!$C36</f>
        <v>2874239.86</v>
      </c>
      <c r="L205" s="422">
        <f>G205</f>
        <v>0.1086</v>
      </c>
      <c r="M205" s="422">
        <f>H205</f>
        <v>0.52599015110063552</v>
      </c>
      <c r="N205" s="407">
        <f>K205*L205*M205</f>
        <v>164183.85380713042</v>
      </c>
      <c r="P205" s="416"/>
      <c r="R205" s="78"/>
    </row>
    <row r="206" spans="1:18">
      <c r="A206" s="260">
        <f t="shared" si="35"/>
        <v>192</v>
      </c>
      <c r="B206" s="416">
        <v>38910</v>
      </c>
      <c r="C206" s="311" t="s">
        <v>1220</v>
      </c>
      <c r="D206" s="417">
        <f>'[3]Gross Plant'!$Q37</f>
        <v>1887122.88</v>
      </c>
      <c r="E206" s="809">
        <v>0</v>
      </c>
      <c r="F206" s="810">
        <f>D206+E206</f>
        <v>1887122.88</v>
      </c>
      <c r="G206" s="811">
        <v>1</v>
      </c>
      <c r="H206" s="625">
        <f>Allocation!$I$21</f>
        <v>1.083947E-2</v>
      </c>
      <c r="I206" s="809">
        <f>F206*G206*H206</f>
        <v>20455.411844073598</v>
      </c>
      <c r="J206" s="106"/>
      <c r="K206" s="417">
        <f>'[3]Gross Plant'!$C37</f>
        <v>1887122.8799999992</v>
      </c>
      <c r="L206" s="422">
        <f>G206</f>
        <v>1</v>
      </c>
      <c r="M206" s="422">
        <f>H206</f>
        <v>1.083947E-2</v>
      </c>
      <c r="N206" s="390">
        <f>K206*L206*M206</f>
        <v>20455.411844073591</v>
      </c>
      <c r="P206" s="416"/>
      <c r="R206" s="78"/>
    </row>
    <row r="207" spans="1:18">
      <c r="A207" s="260">
        <f t="shared" si="35"/>
        <v>193</v>
      </c>
      <c r="B207" s="416">
        <v>39000</v>
      </c>
      <c r="C207" s="311" t="s">
        <v>874</v>
      </c>
      <c r="D207" s="417">
        <f>'[3]Gross Plant'!$Q38</f>
        <v>12671348.190331779</v>
      </c>
      <c r="E207" s="809">
        <v>0</v>
      </c>
      <c r="F207" s="810">
        <f t="shared" ref="F207:F221" si="62">D207+E207</f>
        <v>12671348.190331779</v>
      </c>
      <c r="G207" s="421">
        <f>$G$205</f>
        <v>0.1086</v>
      </c>
      <c r="H207" s="421">
        <f>$H$205</f>
        <v>0.52599015110063552</v>
      </c>
      <c r="I207" s="809">
        <f t="shared" ref="I207:I221" si="63">F207*G207*H207</f>
        <v>723819.47233195754</v>
      </c>
      <c r="J207" s="106"/>
      <c r="K207" s="417">
        <f>'[3]Gross Plant'!$C38</f>
        <v>12655903.850146595</v>
      </c>
      <c r="L207" s="422">
        <f t="shared" ref="L207:L221" si="64">G207</f>
        <v>0.1086</v>
      </c>
      <c r="M207" s="422">
        <f t="shared" ref="M207:M221" si="65">H207</f>
        <v>0.52599015110063552</v>
      </c>
      <c r="N207" s="390">
        <f t="shared" ref="N207:N221" si="66">K207*L207*M207</f>
        <v>722937.25254007429</v>
      </c>
      <c r="P207" s="416"/>
      <c r="R207" s="78"/>
    </row>
    <row r="208" spans="1:18">
      <c r="A208" s="260">
        <f t="shared" si="35"/>
        <v>194</v>
      </c>
      <c r="B208" s="416">
        <v>39009</v>
      </c>
      <c r="C208" s="311" t="s">
        <v>1056</v>
      </c>
      <c r="D208" s="417">
        <f>'[3]Gross Plant'!$Q39</f>
        <v>4298434.33</v>
      </c>
      <c r="E208" s="809">
        <v>0</v>
      </c>
      <c r="F208" s="810">
        <f t="shared" si="62"/>
        <v>4298434.33</v>
      </c>
      <c r="G208" s="421">
        <f>$G$205</f>
        <v>0.1086</v>
      </c>
      <c r="H208" s="421">
        <f>$H$205</f>
        <v>0.52599015110063552</v>
      </c>
      <c r="I208" s="809">
        <f t="shared" si="63"/>
        <v>245537.4457287885</v>
      </c>
      <c r="J208" s="106"/>
      <c r="K208" s="417">
        <f>'[3]Gross Plant'!$C39</f>
        <v>4298434.3299999991</v>
      </c>
      <c r="L208" s="422">
        <f t="shared" si="64"/>
        <v>0.1086</v>
      </c>
      <c r="M208" s="422">
        <f t="shared" si="65"/>
        <v>0.52599015110063552</v>
      </c>
      <c r="N208" s="390">
        <f t="shared" si="66"/>
        <v>245537.44572878844</v>
      </c>
      <c r="P208" s="416"/>
      <c r="R208" s="78"/>
    </row>
    <row r="209" spans="1:18">
      <c r="A209" s="260">
        <f t="shared" si="35"/>
        <v>195</v>
      </c>
      <c r="B209" s="416">
        <v>39010</v>
      </c>
      <c r="C209" s="311" t="s">
        <v>1221</v>
      </c>
      <c r="D209" s="417">
        <f>'[3]Gross Plant'!$Q40</f>
        <v>10419806.710000001</v>
      </c>
      <c r="E209" s="809">
        <v>0</v>
      </c>
      <c r="F209" s="810">
        <f t="shared" ref="F209" si="67">D209+E209</f>
        <v>10419806.710000001</v>
      </c>
      <c r="G209" s="811">
        <v>1</v>
      </c>
      <c r="H209" s="625">
        <f>$H$206</f>
        <v>1.083947E-2</v>
      </c>
      <c r="I209" s="809">
        <f t="shared" ref="I209" si="68">F209*G209*H209</f>
        <v>112945.18223884371</v>
      </c>
      <c r="J209" s="106"/>
      <c r="K209" s="417">
        <f>'[3]Gross Plant'!$C40</f>
        <v>10419806.710000005</v>
      </c>
      <c r="L209" s="422">
        <f t="shared" ref="L209" si="69">G209</f>
        <v>1</v>
      </c>
      <c r="M209" s="422">
        <f t="shared" ref="M209" si="70">H209</f>
        <v>1.083947E-2</v>
      </c>
      <c r="N209" s="390">
        <f t="shared" ref="N209" si="71">K209*L209*M209</f>
        <v>112945.18223884376</v>
      </c>
      <c r="P209" s="416"/>
      <c r="R209" s="78"/>
    </row>
    <row r="210" spans="1:18">
      <c r="A210" s="260">
        <f t="shared" ref="A210:A232" si="72">A209+1</f>
        <v>196</v>
      </c>
      <c r="B210" s="416">
        <v>39100</v>
      </c>
      <c r="C210" s="311" t="s">
        <v>796</v>
      </c>
      <c r="D210" s="417">
        <f>'[3]Gross Plant'!$Q41</f>
        <v>2310944.0635525053</v>
      </c>
      <c r="E210" s="809">
        <v>0</v>
      </c>
      <c r="F210" s="810">
        <f t="shared" si="62"/>
        <v>2310944.0635525053</v>
      </c>
      <c r="G210" s="421">
        <f>$G$205</f>
        <v>0.1086</v>
      </c>
      <c r="H210" s="421">
        <f>$H$205</f>
        <v>0.52599015110063552</v>
      </c>
      <c r="I210" s="809">
        <f t="shared" si="63"/>
        <v>132006.97254499854</v>
      </c>
      <c r="J210" s="106"/>
      <c r="K210" s="417">
        <f>'[3]Gross Plant'!$C41</f>
        <v>2324275.4841529219</v>
      </c>
      <c r="L210" s="422">
        <f t="shared" si="64"/>
        <v>0.1086</v>
      </c>
      <c r="M210" s="422">
        <f t="shared" si="65"/>
        <v>0.52599015110063552</v>
      </c>
      <c r="N210" s="390">
        <f t="shared" si="66"/>
        <v>132768.49702364806</v>
      </c>
      <c r="P210" s="416"/>
      <c r="R210" s="78"/>
    </row>
    <row r="211" spans="1:18">
      <c r="A211" s="260">
        <f t="shared" si="72"/>
        <v>197</v>
      </c>
      <c r="B211" s="416">
        <v>39103</v>
      </c>
      <c r="C211" s="311" t="s">
        <v>1367</v>
      </c>
      <c r="D211" s="417">
        <f>'[3]Gross Plant'!$Q42</f>
        <v>-4687.9143965532148</v>
      </c>
      <c r="E211" s="809">
        <v>0</v>
      </c>
      <c r="F211" s="810">
        <f t="shared" ref="F211" si="73">D211+E211</f>
        <v>-4687.9143965532148</v>
      </c>
      <c r="G211" s="421">
        <f>$G$205</f>
        <v>0.1086</v>
      </c>
      <c r="H211" s="421">
        <f>$H$205</f>
        <v>0.52599015110063552</v>
      </c>
      <c r="I211" s="809">
        <f t="shared" ref="I211" si="74">F211*G211*H211</f>
        <v>-267.78553267437991</v>
      </c>
      <c r="J211" s="106"/>
      <c r="K211" s="417">
        <f>'[3]Gross Plant'!$C42</f>
        <v>129.29248672776018</v>
      </c>
      <c r="L211" s="422">
        <f t="shared" ref="L211" si="75">G211</f>
        <v>0.1086</v>
      </c>
      <c r="M211" s="422">
        <f t="shared" ref="M211" si="76">H211</f>
        <v>0.52599015110063552</v>
      </c>
      <c r="N211" s="390">
        <f t="shared" ref="N211" si="77">K211*L211*M211</f>
        <v>7.3855140048301076</v>
      </c>
      <c r="P211" s="416"/>
      <c r="R211" s="78"/>
    </row>
    <row r="212" spans="1:18">
      <c r="A212" s="260">
        <f t="shared" si="72"/>
        <v>198</v>
      </c>
      <c r="B212" s="416">
        <v>39700</v>
      </c>
      <c r="C212" s="311" t="s">
        <v>454</v>
      </c>
      <c r="D212" s="417">
        <f>'[3]Gross Plant'!$Q43</f>
        <v>1962784.81</v>
      </c>
      <c r="E212" s="809">
        <v>0</v>
      </c>
      <c r="F212" s="810">
        <f t="shared" si="62"/>
        <v>1962784.81</v>
      </c>
      <c r="G212" s="421">
        <f>$G$205</f>
        <v>0.1086</v>
      </c>
      <c r="H212" s="421">
        <f>$H$205</f>
        <v>0.52599015110063552</v>
      </c>
      <c r="I212" s="809">
        <f t="shared" si="63"/>
        <v>112119.23499658665</v>
      </c>
      <c r="J212" s="106"/>
      <c r="K212" s="417">
        <f>'[3]Gross Plant'!$C43</f>
        <v>1962784.8099999998</v>
      </c>
      <c r="L212" s="422">
        <f t="shared" si="64"/>
        <v>0.1086</v>
      </c>
      <c r="M212" s="422">
        <f t="shared" si="65"/>
        <v>0.52599015110063552</v>
      </c>
      <c r="N212" s="390">
        <f t="shared" si="66"/>
        <v>112119.23499658663</v>
      </c>
      <c r="P212" s="416"/>
      <c r="R212" s="78"/>
    </row>
    <row r="213" spans="1:18">
      <c r="A213" s="260">
        <f t="shared" si="72"/>
        <v>199</v>
      </c>
      <c r="B213" s="416">
        <v>39710</v>
      </c>
      <c r="C213" s="311" t="s">
        <v>1222</v>
      </c>
      <c r="D213" s="417">
        <f>'[3]Gross Plant'!$Q44</f>
        <v>271621.21999999997</v>
      </c>
      <c r="E213" s="809">
        <v>0</v>
      </c>
      <c r="F213" s="810">
        <f>D213+E213</f>
        <v>271621.21999999997</v>
      </c>
      <c r="G213" s="811">
        <v>1</v>
      </c>
      <c r="H213" s="625">
        <f>$H$206</f>
        <v>1.083947E-2</v>
      </c>
      <c r="I213" s="809">
        <f>F213*G213*H213</f>
        <v>2944.2300655534</v>
      </c>
      <c r="J213" s="106"/>
      <c r="K213" s="417">
        <f>'[3]Gross Plant'!$C44</f>
        <v>271621.21999999986</v>
      </c>
      <c r="L213" s="422">
        <f>G213</f>
        <v>1</v>
      </c>
      <c r="M213" s="422">
        <f>H213</f>
        <v>1.083947E-2</v>
      </c>
      <c r="N213" s="390">
        <f>K213*L213*M213</f>
        <v>2944.2300655533986</v>
      </c>
      <c r="P213" s="416"/>
      <c r="R213" s="78"/>
    </row>
    <row r="214" spans="1:18">
      <c r="A214" s="260">
        <f t="shared" si="72"/>
        <v>200</v>
      </c>
      <c r="B214" s="416">
        <v>39800</v>
      </c>
      <c r="C214" s="311" t="s">
        <v>666</v>
      </c>
      <c r="D214" s="417">
        <f>'[3]Gross Plant'!$Q45</f>
        <v>48730.446844649254</v>
      </c>
      <c r="E214" s="809">
        <v>0</v>
      </c>
      <c r="F214" s="810">
        <f t="shared" si="62"/>
        <v>48730.446844649254</v>
      </c>
      <c r="G214" s="421">
        <f t="shared" ref="G214:G221" si="78">$G$205</f>
        <v>0.1086</v>
      </c>
      <c r="H214" s="421">
        <f t="shared" ref="H214:H221" si="79">$H$205</f>
        <v>0.52599015110063552</v>
      </c>
      <c r="I214" s="809">
        <f t="shared" si="63"/>
        <v>2783.6064317534142</v>
      </c>
      <c r="J214" s="106"/>
      <c r="K214" s="417">
        <f>'[3]Gross Plant'!$C45</f>
        <v>38369.801245354553</v>
      </c>
      <c r="L214" s="422">
        <f t="shared" si="64"/>
        <v>0.1086</v>
      </c>
      <c r="M214" s="422">
        <f t="shared" si="65"/>
        <v>0.52599015110063552</v>
      </c>
      <c r="N214" s="390">
        <f t="shared" si="66"/>
        <v>2191.7801384453501</v>
      </c>
      <c r="P214" s="416"/>
      <c r="R214" s="78"/>
    </row>
    <row r="215" spans="1:18">
      <c r="A215" s="260">
        <f t="shared" si="72"/>
        <v>201</v>
      </c>
      <c r="B215" s="416">
        <v>39900</v>
      </c>
      <c r="C215" s="311" t="s">
        <v>1173</v>
      </c>
      <c r="D215" s="417">
        <f>'[3]Gross Plant'!$Q46</f>
        <v>629166.46</v>
      </c>
      <c r="E215" s="809">
        <v>0</v>
      </c>
      <c r="F215" s="810">
        <f t="shared" si="62"/>
        <v>629166.46</v>
      </c>
      <c r="G215" s="421">
        <f t="shared" si="78"/>
        <v>0.1086</v>
      </c>
      <c r="H215" s="421">
        <f t="shared" si="79"/>
        <v>0.52599015110063552</v>
      </c>
      <c r="I215" s="809">
        <f t="shared" si="63"/>
        <v>35939.580244005723</v>
      </c>
      <c r="J215" s="106"/>
      <c r="K215" s="417">
        <f>'[3]Gross Plant'!$C46</f>
        <v>629166.46</v>
      </c>
      <c r="L215" s="422">
        <f t="shared" si="64"/>
        <v>0.1086</v>
      </c>
      <c r="M215" s="422">
        <f t="shared" si="65"/>
        <v>0.52599015110063552</v>
      </c>
      <c r="N215" s="390">
        <f t="shared" si="66"/>
        <v>35939.580244005723</v>
      </c>
      <c r="P215" s="416"/>
      <c r="R215" s="78"/>
    </row>
    <row r="216" spans="1:18">
      <c r="A216" s="260">
        <f t="shared" si="72"/>
        <v>202</v>
      </c>
      <c r="B216" s="416">
        <v>39901</v>
      </c>
      <c r="C216" s="247" t="s">
        <v>489</v>
      </c>
      <c r="D216" s="417">
        <f>'[3]Gross Plant'!$Q47</f>
        <v>8102040.5359647218</v>
      </c>
      <c r="E216" s="809">
        <v>0</v>
      </c>
      <c r="F216" s="810">
        <f t="shared" si="62"/>
        <v>8102040.5359647218</v>
      </c>
      <c r="G216" s="421">
        <f t="shared" si="78"/>
        <v>0.1086</v>
      </c>
      <c r="H216" s="421">
        <f t="shared" si="79"/>
        <v>0.52599015110063552</v>
      </c>
      <c r="I216" s="809">
        <f t="shared" si="63"/>
        <v>462809.05689488159</v>
      </c>
      <c r="J216" s="106"/>
      <c r="K216" s="417">
        <f>'[3]Gross Plant'!$C47</f>
        <v>8016720.2389061321</v>
      </c>
      <c r="L216" s="422">
        <f t="shared" si="64"/>
        <v>0.1086</v>
      </c>
      <c r="M216" s="422">
        <f t="shared" si="65"/>
        <v>0.52599015110063552</v>
      </c>
      <c r="N216" s="390">
        <f t="shared" si="66"/>
        <v>457935.34563160228</v>
      </c>
      <c r="P216" s="416"/>
      <c r="R216" s="78"/>
    </row>
    <row r="217" spans="1:18">
      <c r="A217" s="260">
        <f t="shared" si="72"/>
        <v>203</v>
      </c>
      <c r="B217" s="416">
        <v>39902</v>
      </c>
      <c r="C217" s="247" t="s">
        <v>979</v>
      </c>
      <c r="D217" s="417">
        <f>'[3]Gross Plant'!$Q48</f>
        <v>1817193.8354249417</v>
      </c>
      <c r="E217" s="809">
        <v>0</v>
      </c>
      <c r="F217" s="810">
        <f t="shared" si="62"/>
        <v>1817193.8354249417</v>
      </c>
      <c r="G217" s="421">
        <f t="shared" si="78"/>
        <v>0.1086</v>
      </c>
      <c r="H217" s="421">
        <f t="shared" si="79"/>
        <v>0.52599015110063552</v>
      </c>
      <c r="I217" s="809">
        <f t="shared" si="63"/>
        <v>103802.71012406991</v>
      </c>
      <c r="J217" s="106"/>
      <c r="K217" s="417">
        <f>'[3]Gross Plant'!$C48</f>
        <v>1801458.9277957417</v>
      </c>
      <c r="L217" s="422">
        <f t="shared" si="64"/>
        <v>0.1086</v>
      </c>
      <c r="M217" s="422">
        <f t="shared" si="65"/>
        <v>0.52599015110063552</v>
      </c>
      <c r="N217" s="390">
        <f t="shared" si="66"/>
        <v>102903.8923845298</v>
      </c>
      <c r="P217" s="416"/>
      <c r="R217" s="78"/>
    </row>
    <row r="218" spans="1:18">
      <c r="A218" s="260">
        <f t="shared" si="72"/>
        <v>204</v>
      </c>
      <c r="B218" s="416">
        <v>39903</v>
      </c>
      <c r="C218" s="247" t="s">
        <v>1022</v>
      </c>
      <c r="D218" s="417">
        <f>'[3]Gross Plant'!$Q49</f>
        <v>579901.30309850804</v>
      </c>
      <c r="E218" s="809">
        <v>0</v>
      </c>
      <c r="F218" s="810">
        <f t="shared" si="62"/>
        <v>579901.30309850804</v>
      </c>
      <c r="G218" s="421">
        <f t="shared" si="78"/>
        <v>0.1086</v>
      </c>
      <c r="H218" s="421">
        <f t="shared" si="79"/>
        <v>0.52599015110063552</v>
      </c>
      <c r="I218" s="809">
        <f t="shared" si="63"/>
        <v>33125.429820770034</v>
      </c>
      <c r="J218" s="106"/>
      <c r="K218" s="417">
        <f>'[3]Gross Plant'!$C49</f>
        <v>538871.74265627842</v>
      </c>
      <c r="L218" s="422">
        <f t="shared" si="64"/>
        <v>0.1086</v>
      </c>
      <c r="M218" s="422">
        <f t="shared" si="65"/>
        <v>0.52599015110063552</v>
      </c>
      <c r="N218" s="390">
        <f t="shared" si="66"/>
        <v>30781.71750671916</v>
      </c>
      <c r="P218" s="416"/>
      <c r="R218" s="78"/>
    </row>
    <row r="219" spans="1:18">
      <c r="A219" s="260">
        <f t="shared" si="72"/>
        <v>205</v>
      </c>
      <c r="B219" s="416">
        <v>39906</v>
      </c>
      <c r="C219" s="247" t="s">
        <v>465</v>
      </c>
      <c r="D219" s="417">
        <f>'[3]Gross Plant'!$Q50</f>
        <v>956538.5414673459</v>
      </c>
      <c r="E219" s="809">
        <v>0</v>
      </c>
      <c r="F219" s="810">
        <f t="shared" si="62"/>
        <v>956538.5414673459</v>
      </c>
      <c r="G219" s="421">
        <f t="shared" si="78"/>
        <v>0.1086</v>
      </c>
      <c r="H219" s="421">
        <f t="shared" si="79"/>
        <v>0.52599015110063552</v>
      </c>
      <c r="I219" s="809">
        <f t="shared" si="63"/>
        <v>54639.901922855002</v>
      </c>
      <c r="J219" s="106"/>
      <c r="K219" s="417">
        <f>'[3]Gross Plant'!$C50</f>
        <v>955072.6896618444</v>
      </c>
      <c r="L219" s="422">
        <f t="shared" si="64"/>
        <v>0.1086</v>
      </c>
      <c r="M219" s="422">
        <f t="shared" si="65"/>
        <v>0.52599015110063552</v>
      </c>
      <c r="N219" s="390">
        <f t="shared" si="66"/>
        <v>54556.168758519379</v>
      </c>
      <c r="P219" s="416"/>
      <c r="R219" s="78"/>
    </row>
    <row r="220" spans="1:18">
      <c r="A220" s="260">
        <f t="shared" si="72"/>
        <v>206</v>
      </c>
      <c r="B220" s="416">
        <v>39907</v>
      </c>
      <c r="C220" s="311" t="s">
        <v>520</v>
      </c>
      <c r="D220" s="417">
        <f>'[3]Gross Plant'!$Q51</f>
        <v>188781.61</v>
      </c>
      <c r="E220" s="809">
        <v>0</v>
      </c>
      <c r="F220" s="810">
        <f t="shared" si="62"/>
        <v>188781.61</v>
      </c>
      <c r="G220" s="421">
        <f t="shared" si="78"/>
        <v>0.1086</v>
      </c>
      <c r="H220" s="421">
        <f t="shared" si="79"/>
        <v>0.52599015110063552</v>
      </c>
      <c r="I220" s="809">
        <f t="shared" si="63"/>
        <v>10783.683257984847</v>
      </c>
      <c r="J220" s="106"/>
      <c r="K220" s="417">
        <f>'[3]Gross Plant'!$C51</f>
        <v>305326.56769230764</v>
      </c>
      <c r="L220" s="422">
        <f t="shared" si="64"/>
        <v>0.1086</v>
      </c>
      <c r="M220" s="422">
        <f t="shared" si="65"/>
        <v>0.52599015110063552</v>
      </c>
      <c r="N220" s="390">
        <f t="shared" si="66"/>
        <v>17441.026147840963</v>
      </c>
      <c r="P220" s="416"/>
      <c r="R220" s="78"/>
    </row>
    <row r="221" spans="1:18">
      <c r="A221" s="260">
        <f t="shared" si="72"/>
        <v>207</v>
      </c>
      <c r="B221" s="416">
        <v>39908</v>
      </c>
      <c r="C221" s="311" t="s">
        <v>184</v>
      </c>
      <c r="D221" s="417">
        <f>'[3]Gross Plant'!$Q52</f>
        <v>109997918.66771209</v>
      </c>
      <c r="E221" s="809">
        <v>0</v>
      </c>
      <c r="F221" s="810">
        <f t="shared" si="62"/>
        <v>109997918.66771209</v>
      </c>
      <c r="G221" s="421">
        <f t="shared" si="78"/>
        <v>0.1086</v>
      </c>
      <c r="H221" s="421">
        <f t="shared" si="79"/>
        <v>0.52599015110063552</v>
      </c>
      <c r="I221" s="809">
        <f t="shared" si="63"/>
        <v>6283359.4540812839</v>
      </c>
      <c r="J221" s="106"/>
      <c r="K221" s="417">
        <f>'[3]Gross Plant'!$C52</f>
        <v>109429530.87140992</v>
      </c>
      <c r="L221" s="422">
        <f t="shared" si="64"/>
        <v>0.1086</v>
      </c>
      <c r="M221" s="422">
        <f t="shared" si="65"/>
        <v>0.52599015110063552</v>
      </c>
      <c r="N221" s="390">
        <f t="shared" si="66"/>
        <v>6250891.7049026079</v>
      </c>
      <c r="P221" s="416"/>
      <c r="R221" s="78"/>
    </row>
    <row r="222" spans="1:18">
      <c r="A222" s="260">
        <f t="shared" si="72"/>
        <v>208</v>
      </c>
      <c r="B222" s="416">
        <v>39910</v>
      </c>
      <c r="C222" s="311" t="s">
        <v>1223</v>
      </c>
      <c r="D222" s="417">
        <f>'[3]Gross Plant'!$Q53</f>
        <v>91992.46</v>
      </c>
      <c r="E222" s="809">
        <v>0</v>
      </c>
      <c r="F222" s="810">
        <f>D222+E222</f>
        <v>91992.46</v>
      </c>
      <c r="G222" s="811">
        <v>1</v>
      </c>
      <c r="H222" s="625">
        <f>$H$206</f>
        <v>1.083947E-2</v>
      </c>
      <c r="I222" s="809">
        <f>F222*G222*H222</f>
        <v>997.14951039620007</v>
      </c>
      <c r="J222" s="106"/>
      <c r="K222" s="417">
        <f>'[3]Gross Plant'!$C53</f>
        <v>91992.459999999977</v>
      </c>
      <c r="L222" s="422">
        <f>G222</f>
        <v>1</v>
      </c>
      <c r="M222" s="422">
        <f>H222</f>
        <v>1.083947E-2</v>
      </c>
      <c r="N222" s="390">
        <f>K222*L222*M222</f>
        <v>997.14951039619973</v>
      </c>
      <c r="P222" s="416"/>
      <c r="R222" s="78"/>
    </row>
    <row r="223" spans="1:18">
      <c r="A223" s="260">
        <f t="shared" si="72"/>
        <v>209</v>
      </c>
      <c r="B223" s="416">
        <v>39916</v>
      </c>
      <c r="C223" s="106" t="s">
        <v>1224</v>
      </c>
      <c r="D223" s="417">
        <f>'[3]Gross Plant'!$Q54</f>
        <v>194015.41</v>
      </c>
      <c r="E223" s="809">
        <v>0</v>
      </c>
      <c r="F223" s="810">
        <f t="shared" ref="F223:F224" si="80">D223+E223</f>
        <v>194015.41</v>
      </c>
      <c r="G223" s="811">
        <v>1</v>
      </c>
      <c r="H223" s="625">
        <f>$H$206</f>
        <v>1.083947E-2</v>
      </c>
      <c r="I223" s="809">
        <f t="shared" ref="I223:I224" si="81">F223*G223*H223</f>
        <v>2103.0242162326999</v>
      </c>
      <c r="J223" s="106"/>
      <c r="K223" s="417">
        <f>'[3]Gross Plant'!$C54</f>
        <v>194015.41</v>
      </c>
      <c r="L223" s="422">
        <f t="shared" ref="L223:L224" si="82">G223</f>
        <v>1</v>
      </c>
      <c r="M223" s="422">
        <f t="shared" ref="M223:M224" si="83">H223</f>
        <v>1.083947E-2</v>
      </c>
      <c r="N223" s="390">
        <f t="shared" ref="N223:N224" si="84">K223*L223*M223</f>
        <v>2103.0242162326999</v>
      </c>
      <c r="P223" s="416"/>
      <c r="R223" s="78"/>
    </row>
    <row r="224" spans="1:18">
      <c r="A224" s="260">
        <f t="shared" si="72"/>
        <v>210</v>
      </c>
      <c r="B224" s="416">
        <v>39917</v>
      </c>
      <c r="C224" s="106" t="s">
        <v>1225</v>
      </c>
      <c r="D224" s="417">
        <f>'[3]Gross Plant'!$Q55</f>
        <v>90540.56</v>
      </c>
      <c r="E224" s="809">
        <v>0</v>
      </c>
      <c r="F224" s="810">
        <f t="shared" si="80"/>
        <v>90540.56</v>
      </c>
      <c r="G224" s="811">
        <v>1</v>
      </c>
      <c r="H224" s="625">
        <f>$H$206</f>
        <v>1.083947E-2</v>
      </c>
      <c r="I224" s="809">
        <f t="shared" si="81"/>
        <v>981.41168390320001</v>
      </c>
      <c r="J224" s="106"/>
      <c r="K224" s="417">
        <f>'[3]Gross Plant'!$C55</f>
        <v>90540.560000000027</v>
      </c>
      <c r="L224" s="422">
        <f t="shared" si="82"/>
        <v>1</v>
      </c>
      <c r="M224" s="422">
        <f t="shared" si="83"/>
        <v>1.083947E-2</v>
      </c>
      <c r="N224" s="390">
        <f t="shared" si="84"/>
        <v>981.41168390320036</v>
      </c>
      <c r="P224" s="416"/>
      <c r="R224" s="78"/>
    </row>
    <row r="225" spans="1:17">
      <c r="A225" s="260">
        <f t="shared" si="72"/>
        <v>211</v>
      </c>
      <c r="B225" s="60"/>
      <c r="C225" s="311"/>
      <c r="D225" s="812"/>
      <c r="E225" s="812"/>
      <c r="F225" s="812"/>
      <c r="G225" s="1131"/>
      <c r="H225" s="1131"/>
      <c r="I225" s="812"/>
      <c r="J225" s="106"/>
      <c r="K225" s="812"/>
      <c r="N225" s="789"/>
    </row>
    <row r="226" spans="1:17" ht="15.75" thickBot="1">
      <c r="A226" s="260">
        <f t="shared" si="72"/>
        <v>212</v>
      </c>
      <c r="B226" s="60"/>
      <c r="C226" s="247" t="s">
        <v>1366</v>
      </c>
      <c r="D226" s="681">
        <f>SUM(D205:D224)</f>
        <v>159388433.98000002</v>
      </c>
      <c r="E226" s="681">
        <f>SUM(E205:E224)</f>
        <v>0</v>
      </c>
      <c r="F226" s="681">
        <f>SUM(F205:F224)</f>
        <v>159388433.98000002</v>
      </c>
      <c r="G226" s="1140"/>
      <c r="H226" s="1140"/>
      <c r="I226" s="681">
        <f>SUM(I205:I224)</f>
        <v>8505069.0262133963</v>
      </c>
      <c r="J226" s="1085"/>
      <c r="K226" s="681">
        <f>SUM(K205:K224)</f>
        <v>158785384.16615385</v>
      </c>
      <c r="L226" s="91"/>
      <c r="M226" s="91"/>
      <c r="N226" s="420">
        <f>SUM(N205:N224)</f>
        <v>8470621.2948835082</v>
      </c>
      <c r="P226" s="809"/>
      <c r="Q226" s="809"/>
    </row>
    <row r="227" spans="1:17" ht="15.75" thickTop="1">
      <c r="A227" s="260">
        <f t="shared" si="72"/>
        <v>213</v>
      </c>
      <c r="B227" s="60"/>
      <c r="C227" s="247"/>
      <c r="D227" s="417"/>
      <c r="E227" s="417"/>
      <c r="F227" s="417"/>
      <c r="G227" s="1131"/>
      <c r="H227" s="1131"/>
      <c r="I227" s="417"/>
      <c r="J227" s="106"/>
      <c r="K227" s="417"/>
      <c r="N227" s="414"/>
    </row>
    <row r="228" spans="1:17">
      <c r="A228" s="260">
        <f t="shared" si="72"/>
        <v>214</v>
      </c>
      <c r="B228" s="60"/>
      <c r="C228" s="268" t="s">
        <v>766</v>
      </c>
      <c r="D228" s="417">
        <f>'[3]Gross Plant'!$Q175</f>
        <v>2198098.25</v>
      </c>
      <c r="E228" s="417">
        <v>0</v>
      </c>
      <c r="F228" s="417">
        <f>D228+E228</f>
        <v>2198098.25</v>
      </c>
      <c r="G228" s="421">
        <f>$G$205</f>
        <v>0.1086</v>
      </c>
      <c r="H228" s="421">
        <f>$H$205</f>
        <v>0.52599015110063552</v>
      </c>
      <c r="I228" s="417">
        <f>F228*G228*H228</f>
        <v>125560.93412875751</v>
      </c>
      <c r="J228" s="106"/>
      <c r="K228" s="417">
        <f>'[3]Gross Plant'!$Q175</f>
        <v>2198098.25</v>
      </c>
      <c r="L228" s="422">
        <f>G228</f>
        <v>0.1086</v>
      </c>
      <c r="M228" s="422">
        <f>H228</f>
        <v>0.52599015110063552</v>
      </c>
      <c r="N228" s="414">
        <f>K228*L228*M228</f>
        <v>125560.93412875751</v>
      </c>
    </row>
    <row r="229" spans="1:17">
      <c r="A229" s="260">
        <f t="shared" si="72"/>
        <v>215</v>
      </c>
      <c r="C229" s="106"/>
      <c r="D229" s="106"/>
      <c r="E229" s="106"/>
      <c r="F229" s="106"/>
      <c r="G229" s="241"/>
      <c r="H229" s="241"/>
      <c r="I229" s="106"/>
      <c r="J229" s="106"/>
      <c r="K229" s="106"/>
    </row>
    <row r="230" spans="1:17" ht="15.75" thickBot="1">
      <c r="A230" s="260">
        <f t="shared" si="72"/>
        <v>216</v>
      </c>
      <c r="C230" s="247" t="s">
        <v>765</v>
      </c>
      <c r="D230" s="420">
        <f>D226+D198+D166+D109</f>
        <v>863615787.29999566</v>
      </c>
      <c r="E230" s="420">
        <f>E226+E198+E166+E109</f>
        <v>0</v>
      </c>
      <c r="F230" s="420">
        <f>F226+F198+F166+F109</f>
        <v>863615787.29999566</v>
      </c>
      <c r="I230" s="681">
        <f>I226+I198+I166+I109</f>
        <v>516683026.74570662</v>
      </c>
      <c r="J230" s="106"/>
      <c r="K230" s="681">
        <f>K226+K198+K166+K109</f>
        <v>827558073.23507166</v>
      </c>
      <c r="L230" s="241"/>
      <c r="M230" s="241"/>
      <c r="N230" s="681">
        <f>N226+N198+N166+N109</f>
        <v>489110378.92843777</v>
      </c>
    </row>
    <row r="231" spans="1:17" ht="15.75" thickTop="1">
      <c r="A231" s="260">
        <f t="shared" si="72"/>
        <v>217</v>
      </c>
      <c r="I231" s="106"/>
      <c r="J231" s="106"/>
      <c r="K231" s="106"/>
      <c r="L231" s="241"/>
      <c r="M231" s="241"/>
      <c r="N231" s="106"/>
    </row>
    <row r="232" spans="1:17" ht="30.75" thickBot="1">
      <c r="A232" s="260">
        <f t="shared" si="72"/>
        <v>218</v>
      </c>
      <c r="C232" s="806" t="s">
        <v>5</v>
      </c>
      <c r="D232" s="681">
        <f>D228+D200+D168+D111</f>
        <v>30269644.690000013</v>
      </c>
      <c r="E232" s="133"/>
      <c r="F232" s="420">
        <f>F228+F200+F168+F111</f>
        <v>30269644.690000013</v>
      </c>
      <c r="I232" s="681">
        <f>I228+I200+I168+I111</f>
        <v>14905451.46043239</v>
      </c>
      <c r="J232" s="106"/>
      <c r="K232" s="681">
        <f>K228+K200+K168+K111</f>
        <v>29461314.585384626</v>
      </c>
      <c r="L232" s="241"/>
      <c r="M232" s="241"/>
      <c r="N232" s="681">
        <f>N228+N200+N168+N111</f>
        <v>14481743.506047383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37"/>
  <sheetViews>
    <sheetView view="pageBreakPreview" zoomScale="60" zoomScaleNormal="80" workbookViewId="0">
      <pane ySplit="12" topLeftCell="A13" activePane="bottomLeft" state="frozen"/>
      <selection activeCell="E206" sqref="E206"/>
      <selection pane="bottomLeft" activeCell="E206" sqref="E206"/>
    </sheetView>
  </sheetViews>
  <sheetFormatPr defaultRowHeight="15"/>
  <cols>
    <col min="1" max="1" width="4.6640625" customWidth="1"/>
    <col min="2" max="2" width="6.88671875" customWidth="1"/>
    <col min="3" max="3" width="36.21875" customWidth="1"/>
    <col min="4" max="4" width="13.6640625" customWidth="1"/>
    <col min="5" max="5" width="10" customWidth="1"/>
    <col min="6" max="6" width="14.21875" customWidth="1"/>
    <col min="7" max="7" width="13.109375" style="76" bestFit="1" customWidth="1"/>
    <col min="8" max="8" width="12.33203125" style="76" customWidth="1"/>
    <col min="9" max="9" width="13.5546875" customWidth="1"/>
    <col min="10" max="10" width="3.21875" customWidth="1"/>
    <col min="11" max="11" width="13.5546875" bestFit="1" customWidth="1"/>
    <col min="12" max="12" width="12.6640625" style="76" bestFit="1" customWidth="1"/>
    <col min="13" max="13" width="9.77734375" style="76" bestFit="1" customWidth="1"/>
    <col min="14" max="14" width="13.44140625" customWidth="1"/>
    <col min="16" max="17" width="12" bestFit="1" customWidth="1"/>
    <col min="18" max="18" width="7.77734375" customWidth="1"/>
    <col min="19" max="19" width="7.6640625" customWidth="1"/>
  </cols>
  <sheetData>
    <row r="1" spans="1:17">
      <c r="A1" s="1246" t="str">
        <f>'Table of Contents'!A1:C1</f>
        <v>Atmos Energy Corporation, Kentucky/Mid-States Division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</row>
    <row r="2" spans="1:17">
      <c r="A2" s="1246" t="str">
        <f>'Table of Contents'!A2:C2</f>
        <v>Kentucky Jurisdiction Case No. 2015-00343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6"/>
      <c r="L2" s="1246"/>
      <c r="M2" s="1246"/>
      <c r="N2" s="1246"/>
    </row>
    <row r="3" spans="1:17">
      <c r="A3" s="1246" t="s">
        <v>511</v>
      </c>
      <c r="B3" s="1246"/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</row>
    <row r="4" spans="1:17" ht="15.75">
      <c r="A4" s="1247" t="str">
        <f>'B.1 F '!A4</f>
        <v>as of May 31, 2017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</row>
    <row r="5" spans="1:17" ht="15.75">
      <c r="A5" s="40"/>
      <c r="B5" s="40"/>
      <c r="C5" s="40"/>
      <c r="D5" s="772"/>
      <c r="E5" s="783"/>
      <c r="F5" s="40"/>
      <c r="G5" s="77"/>
      <c r="H5" s="77"/>
      <c r="I5" s="1"/>
      <c r="J5" s="1"/>
      <c r="K5" s="40"/>
    </row>
    <row r="6" spans="1:17" ht="15.75">
      <c r="A6" s="4" t="str">
        <f>'B.1 F '!A6</f>
        <v>Data:______Base Period__X___Forecasted Period</v>
      </c>
      <c r="B6" s="1"/>
      <c r="C6" s="1"/>
      <c r="D6" s="1"/>
      <c r="E6" s="772"/>
      <c r="F6" s="1"/>
      <c r="G6" s="77"/>
      <c r="K6" s="1"/>
      <c r="N6" s="927" t="s">
        <v>1512</v>
      </c>
    </row>
    <row r="7" spans="1:17">
      <c r="A7" s="4" t="str">
        <f>'B.1 F '!A7</f>
        <v>Type of Filing:___X____Original________Updated ________Revised</v>
      </c>
      <c r="B7" s="4"/>
      <c r="C7" s="1"/>
      <c r="D7" s="1"/>
      <c r="E7" s="1"/>
      <c r="F7" s="1"/>
      <c r="G7" s="77"/>
      <c r="I7" s="4"/>
      <c r="J7" s="4"/>
      <c r="K7" s="1"/>
      <c r="N7" s="648" t="s">
        <v>1027</v>
      </c>
    </row>
    <row r="8" spans="1:17">
      <c r="A8" s="73" t="str">
        <f>'B.1 F '!A8</f>
        <v>Workpaper Reference No(s).</v>
      </c>
      <c r="B8" s="6"/>
      <c r="C8" s="6"/>
      <c r="D8" s="47"/>
      <c r="E8" s="47"/>
      <c r="F8" s="47"/>
      <c r="G8" s="299"/>
      <c r="H8" s="91"/>
      <c r="I8" s="70"/>
      <c r="J8" s="70"/>
      <c r="K8" s="47"/>
      <c r="L8" s="91"/>
      <c r="N8" s="724" t="str">
        <f>'B.1 B'!F8</f>
        <v>Witness:   Waller</v>
      </c>
    </row>
    <row r="9" spans="1:17">
      <c r="A9" s="506"/>
      <c r="B9" s="47"/>
      <c r="C9" s="47"/>
      <c r="D9" s="326"/>
      <c r="E9" s="85"/>
      <c r="F9" s="85"/>
      <c r="G9" s="439"/>
      <c r="H9" s="440"/>
      <c r="I9" s="430"/>
      <c r="J9" s="70"/>
      <c r="K9" s="326"/>
      <c r="L9" s="473"/>
      <c r="M9" s="473"/>
      <c r="N9" s="94"/>
    </row>
    <row r="10" spans="1:17" ht="15.75">
      <c r="A10" s="508"/>
      <c r="B10" s="47"/>
      <c r="C10" s="47"/>
      <c r="D10" s="775">
        <v>42886</v>
      </c>
      <c r="E10" s="47"/>
      <c r="F10" s="47"/>
      <c r="G10" s="299" t="s">
        <v>13</v>
      </c>
      <c r="H10" s="46" t="s">
        <v>11</v>
      </c>
      <c r="I10" s="431"/>
      <c r="J10" s="70"/>
      <c r="K10" s="93"/>
      <c r="L10" s="299" t="s">
        <v>13</v>
      </c>
      <c r="M10" s="46" t="s">
        <v>11</v>
      </c>
      <c r="N10" s="431"/>
    </row>
    <row r="11" spans="1:17" ht="15.75">
      <c r="A11" s="508" t="s">
        <v>98</v>
      </c>
      <c r="B11" s="2" t="s">
        <v>273</v>
      </c>
      <c r="C11" s="432" t="s">
        <v>221</v>
      </c>
      <c r="D11" s="946" t="s">
        <v>1372</v>
      </c>
      <c r="E11" s="46"/>
      <c r="F11" s="46" t="s">
        <v>10</v>
      </c>
      <c r="G11" s="46" t="s">
        <v>14</v>
      </c>
      <c r="H11" s="101" t="s">
        <v>610</v>
      </c>
      <c r="I11" s="432" t="s">
        <v>12</v>
      </c>
      <c r="J11" s="46"/>
      <c r="K11" s="622" t="s">
        <v>46</v>
      </c>
      <c r="L11" s="46" t="s">
        <v>14</v>
      </c>
      <c r="M11" s="101" t="s">
        <v>610</v>
      </c>
      <c r="N11" s="432" t="s">
        <v>12</v>
      </c>
    </row>
    <row r="12" spans="1:17">
      <c r="A12" s="433" t="s">
        <v>104</v>
      </c>
      <c r="B12" s="44" t="s">
        <v>104</v>
      </c>
      <c r="C12" s="44" t="s">
        <v>304</v>
      </c>
      <c r="D12" s="433" t="s">
        <v>110</v>
      </c>
      <c r="E12" s="44" t="s">
        <v>1006</v>
      </c>
      <c r="F12" s="44" t="s">
        <v>110</v>
      </c>
      <c r="G12" s="257" t="s">
        <v>643</v>
      </c>
      <c r="H12" s="257" t="s">
        <v>643</v>
      </c>
      <c r="I12" s="434" t="s">
        <v>109</v>
      </c>
      <c r="J12" s="46"/>
      <c r="K12" s="433" t="s">
        <v>103</v>
      </c>
      <c r="L12" s="257" t="s">
        <v>643</v>
      </c>
      <c r="M12" s="257" t="s">
        <v>643</v>
      </c>
      <c r="N12" s="434" t="s">
        <v>109</v>
      </c>
      <c r="P12" s="578"/>
      <c r="Q12" s="578"/>
    </row>
    <row r="13" spans="1:17">
      <c r="A13" s="46"/>
      <c r="B13" s="46"/>
      <c r="C13" s="46"/>
      <c r="D13" s="46" t="s">
        <v>767</v>
      </c>
      <c r="E13" s="46" t="s">
        <v>768</v>
      </c>
      <c r="F13" s="46" t="s">
        <v>774</v>
      </c>
      <c r="G13" s="46" t="s">
        <v>769</v>
      </c>
      <c r="H13" s="46" t="s">
        <v>770</v>
      </c>
      <c r="I13" s="46" t="s">
        <v>775</v>
      </c>
      <c r="J13" s="46"/>
      <c r="K13" s="46" t="s">
        <v>771</v>
      </c>
      <c r="L13" s="101" t="s">
        <v>772</v>
      </c>
      <c r="M13" s="101" t="s">
        <v>773</v>
      </c>
      <c r="N13" s="101" t="s">
        <v>776</v>
      </c>
    </row>
    <row r="14" spans="1:17" ht="15.75">
      <c r="B14" s="129" t="s">
        <v>6</v>
      </c>
    </row>
    <row r="15" spans="1:17">
      <c r="A15" s="2">
        <v>1</v>
      </c>
      <c r="B15" s="1"/>
      <c r="C15" s="17" t="s">
        <v>305</v>
      </c>
    </row>
    <row r="16" spans="1:17">
      <c r="A16" s="2">
        <f>A15+1</f>
        <v>2</v>
      </c>
      <c r="B16" s="406">
        <v>30100</v>
      </c>
      <c r="C16" s="4" t="s">
        <v>299</v>
      </c>
      <c r="D16" s="417">
        <f>'[3]Gross Plant'!$AF84</f>
        <v>8329.7199999999993</v>
      </c>
      <c r="E16" s="1141">
        <v>0</v>
      </c>
      <c r="F16" s="1141">
        <f>D16+E16</f>
        <v>8329.7199999999993</v>
      </c>
      <c r="G16" s="623">
        <v>1</v>
      </c>
      <c r="H16" s="623">
        <f>$G$16</f>
        <v>1</v>
      </c>
      <c r="I16" s="448">
        <f>F16*G16*H16</f>
        <v>8329.7199999999993</v>
      </c>
      <c r="J16" s="1142"/>
      <c r="K16" s="417">
        <f>'[3]Gross Plant'!$D84</f>
        <v>8329.7199999999993</v>
      </c>
      <c r="L16" s="624">
        <f t="shared" ref="L16:M17" si="0">$G$16</f>
        <v>1</v>
      </c>
      <c r="M16" s="624">
        <f t="shared" si="0"/>
        <v>1</v>
      </c>
      <c r="N16" s="389">
        <f>K16*L16*M16</f>
        <v>8329.7199999999993</v>
      </c>
    </row>
    <row r="17" spans="1:14">
      <c r="A17" s="777">
        <f t="shared" ref="A17:A80" si="1">A16+1</f>
        <v>3</v>
      </c>
      <c r="B17" s="406">
        <v>30200</v>
      </c>
      <c r="C17" s="4" t="s">
        <v>158</v>
      </c>
      <c r="D17" s="417">
        <f>'[3]Gross Plant'!$AF85</f>
        <v>119852.69</v>
      </c>
      <c r="E17" s="581">
        <v>0</v>
      </c>
      <c r="F17" s="581">
        <f>D17+E17</f>
        <v>119852.69</v>
      </c>
      <c r="G17" s="623">
        <f>$G$16</f>
        <v>1</v>
      </c>
      <c r="H17" s="623">
        <f>$G$16</f>
        <v>1</v>
      </c>
      <c r="I17" s="581">
        <f>F17*G17*H17</f>
        <v>119852.69</v>
      </c>
      <c r="J17" s="106"/>
      <c r="K17" s="417">
        <f>'[3]Gross Plant'!$D85</f>
        <v>119852.68999999996</v>
      </c>
      <c r="L17" s="624">
        <f t="shared" si="0"/>
        <v>1</v>
      </c>
      <c r="M17" s="624">
        <f t="shared" si="0"/>
        <v>1</v>
      </c>
      <c r="N17" s="394">
        <f>K17*L17*M17</f>
        <v>119852.68999999996</v>
      </c>
    </row>
    <row r="18" spans="1:14">
      <c r="A18" s="948">
        <f t="shared" si="1"/>
        <v>4</v>
      </c>
      <c r="B18" s="424"/>
      <c r="C18" s="4"/>
      <c r="D18" s="812"/>
      <c r="E18" s="812"/>
      <c r="F18" s="812"/>
      <c r="G18" s="623"/>
      <c r="H18" s="623"/>
      <c r="I18" s="812"/>
      <c r="J18" s="106"/>
      <c r="K18" s="812"/>
      <c r="N18" s="789"/>
    </row>
    <row r="19" spans="1:14">
      <c r="A19" s="948">
        <f t="shared" si="1"/>
        <v>5</v>
      </c>
      <c r="B19" s="424"/>
      <c r="C19" s="4" t="s">
        <v>306</v>
      </c>
      <c r="D19" s="462">
        <f>SUM(D16:D17)</f>
        <v>128182.41</v>
      </c>
      <c r="E19" s="448">
        <f>SUM(E16:E17)</f>
        <v>0</v>
      </c>
      <c r="F19" s="448">
        <f>SUM(F16:F17)</f>
        <v>128182.41</v>
      </c>
      <c r="G19" s="1143"/>
      <c r="H19" s="1143"/>
      <c r="I19" s="448">
        <f>SUM(I16:I17)</f>
        <v>128182.41</v>
      </c>
      <c r="J19" s="106"/>
      <c r="K19" s="462">
        <f>SUM(K16:K17)</f>
        <v>128182.40999999996</v>
      </c>
      <c r="N19" s="385">
        <f>SUM(N16:N17)</f>
        <v>128182.40999999996</v>
      </c>
    </row>
    <row r="20" spans="1:14">
      <c r="A20" s="777">
        <f t="shared" si="1"/>
        <v>6</v>
      </c>
      <c r="B20" s="424"/>
      <c r="C20" s="1"/>
      <c r="D20" s="106"/>
      <c r="E20" s="106"/>
      <c r="F20" s="106"/>
      <c r="G20" s="623"/>
      <c r="H20" s="623"/>
      <c r="I20" s="106"/>
      <c r="J20" s="106"/>
      <c r="K20" s="106"/>
    </row>
    <row r="21" spans="1:14">
      <c r="A21" s="777">
        <f t="shared" si="1"/>
        <v>7</v>
      </c>
      <c r="B21" s="424"/>
      <c r="C21" s="17" t="s">
        <v>159</v>
      </c>
      <c r="D21" s="106"/>
      <c r="E21" s="106"/>
      <c r="F21" s="106"/>
      <c r="G21" s="623"/>
      <c r="H21" s="623"/>
      <c r="I21" s="106"/>
      <c r="J21" s="106"/>
      <c r="K21" s="106"/>
    </row>
    <row r="22" spans="1:14">
      <c r="A22" s="948">
        <f t="shared" si="1"/>
        <v>8</v>
      </c>
      <c r="B22" s="406">
        <v>32540</v>
      </c>
      <c r="C22" s="4" t="s">
        <v>166</v>
      </c>
      <c r="D22" s="417">
        <f>'[3]Gross Plant'!$AF86</f>
        <v>0</v>
      </c>
      <c r="E22" s="1141">
        <v>0</v>
      </c>
      <c r="F22" s="1141">
        <f t="shared" ref="F22:F24" si="2">D22+E22</f>
        <v>0</v>
      </c>
      <c r="G22" s="623">
        <f t="shared" ref="G22:H24" si="3">$G$16</f>
        <v>1</v>
      </c>
      <c r="H22" s="623">
        <f t="shared" si="3"/>
        <v>1</v>
      </c>
      <c r="I22" s="1141">
        <f t="shared" ref="I22:I24" si="4">F22*G22*H22</f>
        <v>0</v>
      </c>
      <c r="J22" s="106"/>
      <c r="K22" s="417">
        <f>'[3]Gross Plant'!$D86</f>
        <v>0</v>
      </c>
      <c r="L22" s="624">
        <f t="shared" ref="L22:M24" si="5">$G$16</f>
        <v>1</v>
      </c>
      <c r="M22" s="624">
        <f t="shared" si="5"/>
        <v>1</v>
      </c>
      <c r="N22" s="389">
        <f t="shared" ref="N22:N24" si="6">K22*L22*M22</f>
        <v>0</v>
      </c>
    </row>
    <row r="23" spans="1:14">
      <c r="A23" s="1064">
        <f t="shared" si="1"/>
        <v>9</v>
      </c>
      <c r="B23" s="406">
        <v>33202</v>
      </c>
      <c r="C23" s="4" t="s">
        <v>612</v>
      </c>
      <c r="D23" s="417">
        <f>'[3]Gross Plant'!$AF87</f>
        <v>0</v>
      </c>
      <c r="E23" s="581">
        <v>0</v>
      </c>
      <c r="F23" s="581">
        <f t="shared" si="2"/>
        <v>0</v>
      </c>
      <c r="G23" s="623">
        <f t="shared" si="3"/>
        <v>1</v>
      </c>
      <c r="H23" s="623">
        <f t="shared" si="3"/>
        <v>1</v>
      </c>
      <c r="I23" s="581">
        <f t="shared" si="4"/>
        <v>0</v>
      </c>
      <c r="J23" s="106"/>
      <c r="K23" s="417">
        <f>'[3]Gross Plant'!$D87</f>
        <v>0</v>
      </c>
      <c r="L23" s="624">
        <f t="shared" si="5"/>
        <v>1</v>
      </c>
      <c r="M23" s="624">
        <f t="shared" si="5"/>
        <v>1</v>
      </c>
      <c r="N23" s="394">
        <f t="shared" si="6"/>
        <v>0</v>
      </c>
    </row>
    <row r="24" spans="1:14">
      <c r="A24" s="1064">
        <f t="shared" si="1"/>
        <v>10</v>
      </c>
      <c r="B24" s="406">
        <v>33400</v>
      </c>
      <c r="C24" s="4" t="s">
        <v>1140</v>
      </c>
      <c r="D24" s="417">
        <f>'[3]Gross Plant'!$AF88</f>
        <v>0</v>
      </c>
      <c r="E24" s="581">
        <v>0</v>
      </c>
      <c r="F24" s="581">
        <f t="shared" si="2"/>
        <v>0</v>
      </c>
      <c r="G24" s="623">
        <f t="shared" si="3"/>
        <v>1</v>
      </c>
      <c r="H24" s="623">
        <f t="shared" si="3"/>
        <v>1</v>
      </c>
      <c r="I24" s="581">
        <f t="shared" si="4"/>
        <v>0</v>
      </c>
      <c r="J24" s="106"/>
      <c r="K24" s="417">
        <f>'[3]Gross Plant'!$D88</f>
        <v>0</v>
      </c>
      <c r="L24" s="624">
        <f t="shared" si="5"/>
        <v>1</v>
      </c>
      <c r="M24" s="624">
        <f t="shared" si="5"/>
        <v>1</v>
      </c>
      <c r="N24" s="394">
        <f t="shared" si="6"/>
        <v>0</v>
      </c>
    </row>
    <row r="25" spans="1:14">
      <c r="A25" s="1064">
        <f t="shared" si="1"/>
        <v>11</v>
      </c>
      <c r="B25" s="424"/>
      <c r="C25" s="1"/>
      <c r="D25" s="812"/>
      <c r="E25" s="106"/>
      <c r="F25" s="106"/>
      <c r="G25" s="623"/>
      <c r="H25" s="623"/>
      <c r="I25" s="106"/>
      <c r="J25" s="106"/>
      <c r="K25" s="812"/>
    </row>
    <row r="26" spans="1:14">
      <c r="A26" s="1064">
        <f t="shared" si="1"/>
        <v>12</v>
      </c>
      <c r="B26" s="424"/>
      <c r="C26" s="1" t="s">
        <v>283</v>
      </c>
      <c r="D26" s="462">
        <f>SUM(D22:D25)</f>
        <v>0</v>
      </c>
      <c r="E26" s="448">
        <f>SUM(E22:E25)</f>
        <v>0</v>
      </c>
      <c r="F26" s="448">
        <f>SUM(F22:F25)</f>
        <v>0</v>
      </c>
      <c r="G26" s="623"/>
      <c r="H26" s="623"/>
      <c r="I26" s="448">
        <f>SUM(I22:I25)</f>
        <v>0</v>
      </c>
      <c r="J26" s="106"/>
      <c r="K26" s="462">
        <f>SUM(K22:K25)</f>
        <v>0</v>
      </c>
      <c r="N26" s="385">
        <f>SUM(N22:N25)</f>
        <v>0</v>
      </c>
    </row>
    <row r="27" spans="1:14">
      <c r="A27" s="1064">
        <f t="shared" si="1"/>
        <v>13</v>
      </c>
      <c r="B27" s="424"/>
      <c r="C27" s="4"/>
      <c r="D27" s="106"/>
      <c r="E27" s="106"/>
      <c r="F27" s="106"/>
      <c r="G27" s="623"/>
      <c r="H27" s="623"/>
      <c r="I27" s="106"/>
      <c r="J27" s="106"/>
      <c r="K27" s="106"/>
    </row>
    <row r="28" spans="1:14">
      <c r="A28" s="1064">
        <f t="shared" si="1"/>
        <v>14</v>
      </c>
      <c r="B28" s="424"/>
      <c r="C28" s="17" t="s">
        <v>284</v>
      </c>
      <c r="D28" s="106"/>
      <c r="E28" s="106"/>
      <c r="F28" s="106"/>
      <c r="G28" s="623"/>
      <c r="H28" s="623"/>
      <c r="I28" s="106"/>
      <c r="J28" s="106"/>
      <c r="K28" s="106"/>
    </row>
    <row r="29" spans="1:14">
      <c r="A29" s="1064">
        <f t="shared" si="1"/>
        <v>15</v>
      </c>
      <c r="B29" s="406">
        <v>35010</v>
      </c>
      <c r="C29" s="4" t="s">
        <v>300</v>
      </c>
      <c r="D29" s="417">
        <f>'[3]Gross Plant'!$AF89</f>
        <v>261126.69</v>
      </c>
      <c r="E29" s="1141">
        <v>0</v>
      </c>
      <c r="F29" s="1141">
        <f t="shared" ref="F29:F45" si="7">D29+E29</f>
        <v>261126.69</v>
      </c>
      <c r="G29" s="623">
        <f t="shared" ref="G29:H45" si="8">$G$16</f>
        <v>1</v>
      </c>
      <c r="H29" s="623">
        <f t="shared" si="8"/>
        <v>1</v>
      </c>
      <c r="I29" s="1141">
        <f t="shared" ref="I29:I45" si="9">F29*G29*H29</f>
        <v>261126.69</v>
      </c>
      <c r="J29" s="106"/>
      <c r="K29" s="417">
        <f>'[3]Gross Plant'!$D89</f>
        <v>261126.68999999997</v>
      </c>
      <c r="L29" s="624">
        <f t="shared" ref="L29:M45" si="10">$G$16</f>
        <v>1</v>
      </c>
      <c r="M29" s="624">
        <f t="shared" si="10"/>
        <v>1</v>
      </c>
      <c r="N29" s="389">
        <f t="shared" ref="N29:N45" si="11">K29*L29*M29</f>
        <v>261126.68999999997</v>
      </c>
    </row>
    <row r="30" spans="1:14">
      <c r="A30" s="1064">
        <f t="shared" si="1"/>
        <v>16</v>
      </c>
      <c r="B30" s="406">
        <v>35020</v>
      </c>
      <c r="C30" s="4" t="s">
        <v>809</v>
      </c>
      <c r="D30" s="417">
        <f>'[3]Gross Plant'!$AF90</f>
        <v>4681.58</v>
      </c>
      <c r="E30" s="581">
        <v>0</v>
      </c>
      <c r="F30" s="581">
        <f t="shared" si="7"/>
        <v>4681.58</v>
      </c>
      <c r="G30" s="623">
        <f t="shared" si="8"/>
        <v>1</v>
      </c>
      <c r="H30" s="623">
        <f t="shared" si="8"/>
        <v>1</v>
      </c>
      <c r="I30" s="581">
        <f t="shared" si="9"/>
        <v>4681.58</v>
      </c>
      <c r="J30" s="106"/>
      <c r="K30" s="417">
        <f>'[3]Gross Plant'!$D90</f>
        <v>4681.5800000000008</v>
      </c>
      <c r="L30" s="624">
        <f t="shared" si="10"/>
        <v>1</v>
      </c>
      <c r="M30" s="624">
        <f t="shared" si="10"/>
        <v>1</v>
      </c>
      <c r="N30" s="394">
        <f t="shared" si="11"/>
        <v>4681.5800000000008</v>
      </c>
    </row>
    <row r="31" spans="1:14">
      <c r="A31" s="1064">
        <f t="shared" si="1"/>
        <v>17</v>
      </c>
      <c r="B31" s="406">
        <v>35100</v>
      </c>
      <c r="C31" s="4" t="s">
        <v>988</v>
      </c>
      <c r="D31" s="417">
        <f>'[3]Gross Plant'!$AF91</f>
        <v>17916.189999999999</v>
      </c>
      <c r="E31" s="581">
        <v>0</v>
      </c>
      <c r="F31" s="581">
        <f t="shared" si="7"/>
        <v>17916.189999999999</v>
      </c>
      <c r="G31" s="623">
        <f t="shared" si="8"/>
        <v>1</v>
      </c>
      <c r="H31" s="623">
        <f t="shared" si="8"/>
        <v>1</v>
      </c>
      <c r="I31" s="581">
        <f t="shared" si="9"/>
        <v>17916.189999999999</v>
      </c>
      <c r="J31" s="106"/>
      <c r="K31" s="417">
        <f>'[3]Gross Plant'!$D91</f>
        <v>17916.189999999999</v>
      </c>
      <c r="L31" s="624">
        <f t="shared" si="10"/>
        <v>1</v>
      </c>
      <c r="M31" s="624">
        <f t="shared" si="10"/>
        <v>1</v>
      </c>
      <c r="N31" s="394">
        <f t="shared" si="11"/>
        <v>17916.189999999999</v>
      </c>
    </row>
    <row r="32" spans="1:14">
      <c r="A32" s="1064">
        <f t="shared" si="1"/>
        <v>18</v>
      </c>
      <c r="B32" s="406">
        <v>35102</v>
      </c>
      <c r="C32" s="4" t="s">
        <v>285</v>
      </c>
      <c r="D32" s="417">
        <f>'[3]Gross Plant'!$AF92</f>
        <v>153261.29999999999</v>
      </c>
      <c r="E32" s="581">
        <v>0</v>
      </c>
      <c r="F32" s="581">
        <f t="shared" si="7"/>
        <v>153261.29999999999</v>
      </c>
      <c r="G32" s="623">
        <f t="shared" si="8"/>
        <v>1</v>
      </c>
      <c r="H32" s="623">
        <f t="shared" si="8"/>
        <v>1</v>
      </c>
      <c r="I32" s="581">
        <f t="shared" si="9"/>
        <v>153261.29999999999</v>
      </c>
      <c r="J32" s="106"/>
      <c r="K32" s="417">
        <f>'[3]Gross Plant'!$D92</f>
        <v>153261.30000000002</v>
      </c>
      <c r="L32" s="624">
        <f t="shared" si="10"/>
        <v>1</v>
      </c>
      <c r="M32" s="624">
        <f t="shared" si="10"/>
        <v>1</v>
      </c>
      <c r="N32" s="394">
        <f t="shared" si="11"/>
        <v>153261.30000000002</v>
      </c>
    </row>
    <row r="33" spans="1:14">
      <c r="A33" s="1064">
        <f t="shared" si="1"/>
        <v>19</v>
      </c>
      <c r="B33" s="406">
        <v>35103</v>
      </c>
      <c r="C33" s="4" t="s">
        <v>601</v>
      </c>
      <c r="D33" s="417">
        <f>'[3]Gross Plant'!$AF93</f>
        <v>23138.38</v>
      </c>
      <c r="E33" s="581">
        <v>0</v>
      </c>
      <c r="F33" s="581">
        <f t="shared" si="7"/>
        <v>23138.38</v>
      </c>
      <c r="G33" s="623">
        <f t="shared" si="8"/>
        <v>1</v>
      </c>
      <c r="H33" s="623">
        <f t="shared" si="8"/>
        <v>1</v>
      </c>
      <c r="I33" s="581">
        <f t="shared" si="9"/>
        <v>23138.38</v>
      </c>
      <c r="J33" s="106"/>
      <c r="K33" s="417">
        <f>'[3]Gross Plant'!$D93</f>
        <v>23138.38</v>
      </c>
      <c r="L33" s="624">
        <f t="shared" si="10"/>
        <v>1</v>
      </c>
      <c r="M33" s="624">
        <f t="shared" si="10"/>
        <v>1</v>
      </c>
      <c r="N33" s="394">
        <f t="shared" si="11"/>
        <v>23138.38</v>
      </c>
    </row>
    <row r="34" spans="1:14">
      <c r="A34" s="1064">
        <f t="shared" si="1"/>
        <v>20</v>
      </c>
      <c r="B34" s="406">
        <v>35104</v>
      </c>
      <c r="C34" s="4" t="s">
        <v>602</v>
      </c>
      <c r="D34" s="417">
        <f>'[3]Gross Plant'!$AF94</f>
        <v>137442.53</v>
      </c>
      <c r="E34" s="581">
        <v>0</v>
      </c>
      <c r="F34" s="581">
        <f t="shared" si="7"/>
        <v>137442.53</v>
      </c>
      <c r="G34" s="623">
        <f t="shared" si="8"/>
        <v>1</v>
      </c>
      <c r="H34" s="623">
        <f t="shared" si="8"/>
        <v>1</v>
      </c>
      <c r="I34" s="581">
        <f t="shared" si="9"/>
        <v>137442.53</v>
      </c>
      <c r="J34" s="106"/>
      <c r="K34" s="417">
        <f>'[3]Gross Plant'!$D94</f>
        <v>137442.53</v>
      </c>
      <c r="L34" s="624">
        <f t="shared" si="10"/>
        <v>1</v>
      </c>
      <c r="M34" s="624">
        <f t="shared" si="10"/>
        <v>1</v>
      </c>
      <c r="N34" s="394">
        <f t="shared" si="11"/>
        <v>137442.53</v>
      </c>
    </row>
    <row r="35" spans="1:14">
      <c r="A35" s="1064">
        <f t="shared" si="1"/>
        <v>21</v>
      </c>
      <c r="B35" s="406">
        <v>35200</v>
      </c>
      <c r="C35" s="4" t="s">
        <v>455</v>
      </c>
      <c r="D35" s="417">
        <f>'[3]Gross Plant'!$AF95</f>
        <v>9725538.9778538048</v>
      </c>
      <c r="E35" s="581">
        <v>0</v>
      </c>
      <c r="F35" s="581">
        <f t="shared" si="7"/>
        <v>9725538.9778538048</v>
      </c>
      <c r="G35" s="623">
        <f t="shared" si="8"/>
        <v>1</v>
      </c>
      <c r="H35" s="623">
        <f t="shared" si="8"/>
        <v>1</v>
      </c>
      <c r="I35" s="581">
        <f t="shared" si="9"/>
        <v>9725538.9778538048</v>
      </c>
      <c r="J35" s="106"/>
      <c r="K35" s="417">
        <f>'[3]Gross Plant'!$D95</f>
        <v>9095522.2800091319</v>
      </c>
      <c r="L35" s="624">
        <f t="shared" si="10"/>
        <v>1</v>
      </c>
      <c r="M35" s="624">
        <f t="shared" si="10"/>
        <v>1</v>
      </c>
      <c r="N35" s="394">
        <f t="shared" si="11"/>
        <v>9095522.2800091319</v>
      </c>
    </row>
    <row r="36" spans="1:14">
      <c r="A36" s="1064">
        <f t="shared" si="1"/>
        <v>22</v>
      </c>
      <c r="B36" s="406">
        <v>35201</v>
      </c>
      <c r="C36" s="4" t="s">
        <v>603</v>
      </c>
      <c r="D36" s="417">
        <f>'[3]Gross Plant'!$AF96</f>
        <v>1699998.54</v>
      </c>
      <c r="E36" s="581">
        <v>0</v>
      </c>
      <c r="F36" s="581">
        <f t="shared" si="7"/>
        <v>1699998.54</v>
      </c>
      <c r="G36" s="623">
        <f t="shared" si="8"/>
        <v>1</v>
      </c>
      <c r="H36" s="623">
        <f t="shared" si="8"/>
        <v>1</v>
      </c>
      <c r="I36" s="581">
        <f t="shared" si="9"/>
        <v>1699998.54</v>
      </c>
      <c r="J36" s="106"/>
      <c r="K36" s="417">
        <f>'[3]Gross Plant'!$D96</f>
        <v>1699998.5399999993</v>
      </c>
      <c r="L36" s="624">
        <f t="shared" si="10"/>
        <v>1</v>
      </c>
      <c r="M36" s="624">
        <f t="shared" si="10"/>
        <v>1</v>
      </c>
      <c r="N36" s="394">
        <f t="shared" si="11"/>
        <v>1699998.5399999993</v>
      </c>
    </row>
    <row r="37" spans="1:14">
      <c r="A37" s="1064">
        <f t="shared" si="1"/>
        <v>23</v>
      </c>
      <c r="B37" s="406">
        <v>35202</v>
      </c>
      <c r="C37" s="4" t="s">
        <v>604</v>
      </c>
      <c r="D37" s="417">
        <f>'[3]Gross Plant'!$AF97</f>
        <v>415818.86</v>
      </c>
      <c r="E37" s="581">
        <v>0</v>
      </c>
      <c r="F37" s="581">
        <f t="shared" si="7"/>
        <v>415818.86</v>
      </c>
      <c r="G37" s="623">
        <f t="shared" si="8"/>
        <v>1</v>
      </c>
      <c r="H37" s="623">
        <f t="shared" si="8"/>
        <v>1</v>
      </c>
      <c r="I37" s="581">
        <f t="shared" si="9"/>
        <v>415818.86</v>
      </c>
      <c r="J37" s="106"/>
      <c r="K37" s="417">
        <f>'[3]Gross Plant'!$D97</f>
        <v>415818.86</v>
      </c>
      <c r="L37" s="624">
        <f t="shared" si="10"/>
        <v>1</v>
      </c>
      <c r="M37" s="624">
        <f t="shared" si="10"/>
        <v>1</v>
      </c>
      <c r="N37" s="394">
        <f t="shared" si="11"/>
        <v>415818.86</v>
      </c>
    </row>
    <row r="38" spans="1:14">
      <c r="A38" s="1064">
        <f t="shared" si="1"/>
        <v>24</v>
      </c>
      <c r="B38" s="406">
        <v>35203</v>
      </c>
      <c r="C38" s="4" t="s">
        <v>353</v>
      </c>
      <c r="D38" s="417">
        <f>'[3]Gross Plant'!$AF98</f>
        <v>1694832.96</v>
      </c>
      <c r="E38" s="581">
        <v>0</v>
      </c>
      <c r="F38" s="581">
        <f t="shared" si="7"/>
        <v>1694832.96</v>
      </c>
      <c r="G38" s="623">
        <f t="shared" si="8"/>
        <v>1</v>
      </c>
      <c r="H38" s="623">
        <f t="shared" si="8"/>
        <v>1</v>
      </c>
      <c r="I38" s="581">
        <f t="shared" si="9"/>
        <v>1694832.96</v>
      </c>
      <c r="J38" s="106"/>
      <c r="K38" s="417">
        <f>'[3]Gross Plant'!$D98</f>
        <v>1694832.9600000007</v>
      </c>
      <c r="L38" s="624">
        <f t="shared" si="10"/>
        <v>1</v>
      </c>
      <c r="M38" s="624">
        <f t="shared" si="10"/>
        <v>1</v>
      </c>
      <c r="N38" s="394">
        <f t="shared" si="11"/>
        <v>1694832.9600000007</v>
      </c>
    </row>
    <row r="39" spans="1:14">
      <c r="A39" s="1064">
        <f t="shared" si="1"/>
        <v>25</v>
      </c>
      <c r="B39" s="406">
        <v>35210</v>
      </c>
      <c r="C39" s="4" t="s">
        <v>605</v>
      </c>
      <c r="D39" s="417">
        <f>'[3]Gross Plant'!$AF99</f>
        <v>178530.09</v>
      </c>
      <c r="E39" s="581">
        <v>0</v>
      </c>
      <c r="F39" s="581">
        <f t="shared" si="7"/>
        <v>178530.09</v>
      </c>
      <c r="G39" s="623">
        <f t="shared" si="8"/>
        <v>1</v>
      </c>
      <c r="H39" s="623">
        <f t="shared" si="8"/>
        <v>1</v>
      </c>
      <c r="I39" s="581">
        <f t="shared" si="9"/>
        <v>178530.09</v>
      </c>
      <c r="J39" s="106"/>
      <c r="K39" s="417">
        <f>'[3]Gross Plant'!$D99</f>
        <v>178530.09000000003</v>
      </c>
      <c r="L39" s="624">
        <f t="shared" si="10"/>
        <v>1</v>
      </c>
      <c r="M39" s="624">
        <f t="shared" si="10"/>
        <v>1</v>
      </c>
      <c r="N39" s="394">
        <f t="shared" si="11"/>
        <v>178530.09000000003</v>
      </c>
    </row>
    <row r="40" spans="1:14">
      <c r="A40" s="1064">
        <f t="shared" si="1"/>
        <v>26</v>
      </c>
      <c r="B40" s="406">
        <v>35211</v>
      </c>
      <c r="C40" s="4" t="s">
        <v>606</v>
      </c>
      <c r="D40" s="417">
        <f>'[3]Gross Plant'!$AF100</f>
        <v>54614.27</v>
      </c>
      <c r="E40" s="581">
        <v>0</v>
      </c>
      <c r="F40" s="581">
        <f t="shared" si="7"/>
        <v>54614.27</v>
      </c>
      <c r="G40" s="623">
        <f t="shared" si="8"/>
        <v>1</v>
      </c>
      <c r="H40" s="623">
        <f t="shared" si="8"/>
        <v>1</v>
      </c>
      <c r="I40" s="581">
        <f t="shared" si="9"/>
        <v>54614.27</v>
      </c>
      <c r="J40" s="106"/>
      <c r="K40" s="417">
        <f>'[3]Gross Plant'!$D100</f>
        <v>54614.270000000011</v>
      </c>
      <c r="L40" s="624">
        <f t="shared" si="10"/>
        <v>1</v>
      </c>
      <c r="M40" s="624">
        <f t="shared" si="10"/>
        <v>1</v>
      </c>
      <c r="N40" s="394">
        <f t="shared" si="11"/>
        <v>54614.270000000011</v>
      </c>
    </row>
    <row r="41" spans="1:14">
      <c r="A41" s="1064">
        <f t="shared" si="1"/>
        <v>27</v>
      </c>
      <c r="B41" s="406">
        <v>35301</v>
      </c>
      <c r="C41" s="1" t="s">
        <v>167</v>
      </c>
      <c r="D41" s="417">
        <f>'[3]Gross Plant'!$AF101</f>
        <v>178496.9</v>
      </c>
      <c r="E41" s="581">
        <v>0</v>
      </c>
      <c r="F41" s="581">
        <f t="shared" si="7"/>
        <v>178496.9</v>
      </c>
      <c r="G41" s="623">
        <f t="shared" si="8"/>
        <v>1</v>
      </c>
      <c r="H41" s="623">
        <f t="shared" si="8"/>
        <v>1</v>
      </c>
      <c r="I41" s="581">
        <f t="shared" si="9"/>
        <v>178496.9</v>
      </c>
      <c r="J41" s="106"/>
      <c r="K41" s="417">
        <f>'[3]Gross Plant'!$D101</f>
        <v>178496.89999999994</v>
      </c>
      <c r="L41" s="624">
        <f t="shared" si="10"/>
        <v>1</v>
      </c>
      <c r="M41" s="624">
        <f t="shared" si="10"/>
        <v>1</v>
      </c>
      <c r="N41" s="394">
        <f t="shared" si="11"/>
        <v>178496.89999999994</v>
      </c>
    </row>
    <row r="42" spans="1:14">
      <c r="A42" s="1064">
        <f t="shared" si="1"/>
        <v>28</v>
      </c>
      <c r="B42" s="406">
        <v>35302</v>
      </c>
      <c r="C42" s="4" t="s">
        <v>612</v>
      </c>
      <c r="D42" s="417">
        <f>'[3]Gross Plant'!$AF102</f>
        <v>209458.21</v>
      </c>
      <c r="E42" s="581">
        <v>0</v>
      </c>
      <c r="F42" s="581">
        <f t="shared" si="7"/>
        <v>209458.21</v>
      </c>
      <c r="G42" s="623">
        <f t="shared" si="8"/>
        <v>1</v>
      </c>
      <c r="H42" s="623">
        <f t="shared" si="8"/>
        <v>1</v>
      </c>
      <c r="I42" s="581">
        <f t="shared" si="9"/>
        <v>209458.21</v>
      </c>
      <c r="J42" s="106"/>
      <c r="K42" s="417">
        <f>'[3]Gross Plant'!$D102</f>
        <v>209458.21</v>
      </c>
      <c r="L42" s="624">
        <f t="shared" si="10"/>
        <v>1</v>
      </c>
      <c r="M42" s="624">
        <f t="shared" si="10"/>
        <v>1</v>
      </c>
      <c r="N42" s="394">
        <f t="shared" si="11"/>
        <v>209458.21</v>
      </c>
    </row>
    <row r="43" spans="1:14">
      <c r="A43" s="1064">
        <f t="shared" si="1"/>
        <v>29</v>
      </c>
      <c r="B43" s="406">
        <v>35400</v>
      </c>
      <c r="C43" s="4" t="s">
        <v>607</v>
      </c>
      <c r="D43" s="417">
        <f>'[3]Gross Plant'!$AF103</f>
        <v>923446.05</v>
      </c>
      <c r="E43" s="581">
        <v>0</v>
      </c>
      <c r="F43" s="581">
        <f t="shared" si="7"/>
        <v>923446.05</v>
      </c>
      <c r="G43" s="623">
        <f t="shared" si="8"/>
        <v>1</v>
      </c>
      <c r="H43" s="623">
        <f t="shared" si="8"/>
        <v>1</v>
      </c>
      <c r="I43" s="581">
        <f t="shared" si="9"/>
        <v>923446.05</v>
      </c>
      <c r="J43" s="106"/>
      <c r="K43" s="417">
        <f>'[3]Gross Plant'!$D103</f>
        <v>923446.05000000016</v>
      </c>
      <c r="L43" s="624">
        <f t="shared" si="10"/>
        <v>1</v>
      </c>
      <c r="M43" s="624">
        <f t="shared" si="10"/>
        <v>1</v>
      </c>
      <c r="N43" s="394">
        <f t="shared" si="11"/>
        <v>923446.05000000016</v>
      </c>
    </row>
    <row r="44" spans="1:14">
      <c r="A44" s="1064">
        <f t="shared" si="1"/>
        <v>30</v>
      </c>
      <c r="B44" s="406">
        <v>35500</v>
      </c>
      <c r="C44" s="4" t="s">
        <v>1011</v>
      </c>
      <c r="D44" s="417">
        <f>'[3]Gross Plant'!$AF104</f>
        <v>240883.03</v>
      </c>
      <c r="E44" s="581">
        <v>0</v>
      </c>
      <c r="F44" s="581">
        <f t="shared" si="7"/>
        <v>240883.03</v>
      </c>
      <c r="G44" s="623">
        <f t="shared" si="8"/>
        <v>1</v>
      </c>
      <c r="H44" s="623">
        <f t="shared" si="8"/>
        <v>1</v>
      </c>
      <c r="I44" s="581">
        <f t="shared" si="9"/>
        <v>240883.03</v>
      </c>
      <c r="J44" s="106"/>
      <c r="K44" s="417">
        <f>'[3]Gross Plant'!$D104</f>
        <v>240883.02999999994</v>
      </c>
      <c r="L44" s="624">
        <f t="shared" si="10"/>
        <v>1</v>
      </c>
      <c r="M44" s="624">
        <f t="shared" si="10"/>
        <v>1</v>
      </c>
      <c r="N44" s="394">
        <f t="shared" si="11"/>
        <v>240883.02999999994</v>
      </c>
    </row>
    <row r="45" spans="1:14">
      <c r="A45" s="1064">
        <f t="shared" si="1"/>
        <v>31</v>
      </c>
      <c r="B45" s="406">
        <v>35600</v>
      </c>
      <c r="C45" s="4" t="s">
        <v>1060</v>
      </c>
      <c r="D45" s="417">
        <f>'[3]Gross Plant'!$AF105</f>
        <v>414663.45</v>
      </c>
      <c r="E45" s="1144">
        <v>0</v>
      </c>
      <c r="F45" s="1144">
        <f t="shared" si="7"/>
        <v>414663.45</v>
      </c>
      <c r="G45" s="623">
        <f t="shared" si="8"/>
        <v>1</v>
      </c>
      <c r="H45" s="623">
        <f t="shared" si="8"/>
        <v>1</v>
      </c>
      <c r="I45" s="1144">
        <f t="shared" si="9"/>
        <v>414663.45</v>
      </c>
      <c r="J45" s="106"/>
      <c r="K45" s="417">
        <f>'[3]Gross Plant'!$D105</f>
        <v>414663.45000000013</v>
      </c>
      <c r="L45" s="624">
        <f t="shared" si="10"/>
        <v>1</v>
      </c>
      <c r="M45" s="624">
        <f t="shared" si="10"/>
        <v>1</v>
      </c>
      <c r="N45" s="395">
        <f t="shared" si="11"/>
        <v>414663.45000000013</v>
      </c>
    </row>
    <row r="46" spans="1:14">
      <c r="A46" s="1064">
        <f t="shared" si="1"/>
        <v>32</v>
      </c>
      <c r="B46" s="424"/>
      <c r="C46" s="4"/>
      <c r="D46" s="812"/>
      <c r="E46" s="106"/>
      <c r="F46" s="106"/>
      <c r="G46" s="623"/>
      <c r="H46" s="623"/>
      <c r="I46" s="106"/>
      <c r="J46" s="106"/>
      <c r="K46" s="812"/>
    </row>
    <row r="47" spans="1:14">
      <c r="A47" s="1064">
        <f t="shared" si="1"/>
        <v>33</v>
      </c>
      <c r="B47" s="424"/>
      <c r="C47" s="4" t="s">
        <v>220</v>
      </c>
      <c r="D47" s="462">
        <f>SUM(D29:D46)</f>
        <v>16333848.007853806</v>
      </c>
      <c r="E47" s="448">
        <f>SUM(E29:E46)</f>
        <v>0</v>
      </c>
      <c r="F47" s="448">
        <f>SUM(F29:F46)</f>
        <v>16333848.007853806</v>
      </c>
      <c r="G47" s="623"/>
      <c r="H47" s="623"/>
      <c r="I47" s="448">
        <f>SUM(I29:I46)</f>
        <v>16333848.007853806</v>
      </c>
      <c r="J47" s="106"/>
      <c r="K47" s="462">
        <f>SUM(K29:K46)</f>
        <v>15703831.310009131</v>
      </c>
      <c r="N47" s="407">
        <f>SUM(N29:N46)</f>
        <v>15703831.310009131</v>
      </c>
    </row>
    <row r="48" spans="1:14">
      <c r="A48" s="1064">
        <f t="shared" si="1"/>
        <v>34</v>
      </c>
      <c r="B48" s="424"/>
      <c r="C48" s="4"/>
      <c r="D48" s="106"/>
      <c r="E48" s="106"/>
      <c r="F48" s="106"/>
      <c r="G48" s="623"/>
      <c r="H48" s="623"/>
      <c r="I48" s="106"/>
      <c r="J48" s="106"/>
      <c r="K48" s="106"/>
    </row>
    <row r="49" spans="1:14">
      <c r="A49" s="1064">
        <f t="shared" si="1"/>
        <v>35</v>
      </c>
      <c r="B49" s="424"/>
      <c r="C49" s="17" t="s">
        <v>1012</v>
      </c>
      <c r="D49" s="106"/>
      <c r="E49" s="106"/>
      <c r="F49" s="106"/>
      <c r="G49" s="623"/>
      <c r="H49" s="623"/>
      <c r="I49" s="106"/>
      <c r="J49" s="106"/>
      <c r="K49" s="106"/>
    </row>
    <row r="50" spans="1:14">
      <c r="A50" s="1064">
        <f t="shared" si="1"/>
        <v>36</v>
      </c>
      <c r="B50" s="406">
        <v>36510</v>
      </c>
      <c r="C50" s="4" t="s">
        <v>300</v>
      </c>
      <c r="D50" s="417">
        <f>'[3]Gross Plant'!$AF106</f>
        <v>26970.37</v>
      </c>
      <c r="E50" s="1141">
        <v>0</v>
      </c>
      <c r="F50" s="1141">
        <f t="shared" ref="F50:F57" si="12">D50+E50</f>
        <v>26970.37</v>
      </c>
      <c r="G50" s="623">
        <f t="shared" ref="G50:H57" si="13">$G$16</f>
        <v>1</v>
      </c>
      <c r="H50" s="623">
        <f t="shared" si="13"/>
        <v>1</v>
      </c>
      <c r="I50" s="462">
        <f t="shared" ref="I50:I57" si="14">F50*G50*H50</f>
        <v>26970.37</v>
      </c>
      <c r="J50" s="106"/>
      <c r="K50" s="417">
        <f>'[3]Gross Plant'!$D106</f>
        <v>26970.37</v>
      </c>
      <c r="L50" s="624">
        <f t="shared" ref="L50:M57" si="15">$G$16</f>
        <v>1</v>
      </c>
      <c r="M50" s="624">
        <f t="shared" si="15"/>
        <v>1</v>
      </c>
      <c r="N50" s="389">
        <f t="shared" ref="N50:N57" si="16">K50*L50*M50</f>
        <v>26970.37</v>
      </c>
    </row>
    <row r="51" spans="1:14">
      <c r="A51" s="1064">
        <f t="shared" si="1"/>
        <v>37</v>
      </c>
      <c r="B51" s="406">
        <v>36520</v>
      </c>
      <c r="C51" s="4" t="s">
        <v>809</v>
      </c>
      <c r="D51" s="417">
        <f>'[3]Gross Plant'!$AF107</f>
        <v>867772</v>
      </c>
      <c r="E51" s="581">
        <v>0</v>
      </c>
      <c r="F51" s="581">
        <f t="shared" si="12"/>
        <v>867772</v>
      </c>
      <c r="G51" s="623">
        <f t="shared" si="13"/>
        <v>1</v>
      </c>
      <c r="H51" s="623">
        <f t="shared" si="13"/>
        <v>1</v>
      </c>
      <c r="I51" s="581">
        <f t="shared" si="14"/>
        <v>867772</v>
      </c>
      <c r="J51" s="106"/>
      <c r="K51" s="417">
        <f>'[3]Gross Plant'!$D107</f>
        <v>867772</v>
      </c>
      <c r="L51" s="624">
        <f t="shared" si="15"/>
        <v>1</v>
      </c>
      <c r="M51" s="624">
        <f t="shared" si="15"/>
        <v>1</v>
      </c>
      <c r="N51" s="394">
        <f t="shared" si="16"/>
        <v>867772</v>
      </c>
    </row>
    <row r="52" spans="1:14">
      <c r="A52" s="1064">
        <f t="shared" si="1"/>
        <v>38</v>
      </c>
      <c r="B52" s="406">
        <v>36602</v>
      </c>
      <c r="C52" s="4" t="s">
        <v>874</v>
      </c>
      <c r="D52" s="417">
        <f>'[3]Gross Plant'!$AF108</f>
        <v>49001.72</v>
      </c>
      <c r="E52" s="581">
        <v>0</v>
      </c>
      <c r="F52" s="581">
        <f t="shared" si="12"/>
        <v>49001.72</v>
      </c>
      <c r="G52" s="623">
        <f t="shared" si="13"/>
        <v>1</v>
      </c>
      <c r="H52" s="623">
        <f t="shared" si="13"/>
        <v>1</v>
      </c>
      <c r="I52" s="581">
        <f t="shared" si="14"/>
        <v>49001.72</v>
      </c>
      <c r="J52" s="106"/>
      <c r="K52" s="417">
        <f>'[3]Gross Plant'!$D108</f>
        <v>49001.719999999987</v>
      </c>
      <c r="L52" s="624">
        <f t="shared" si="15"/>
        <v>1</v>
      </c>
      <c r="M52" s="624">
        <f t="shared" si="15"/>
        <v>1</v>
      </c>
      <c r="N52" s="394">
        <f t="shared" si="16"/>
        <v>49001.719999999987</v>
      </c>
    </row>
    <row r="53" spans="1:14">
      <c r="A53" s="1064">
        <f t="shared" si="1"/>
        <v>39</v>
      </c>
      <c r="B53" s="406">
        <v>36603</v>
      </c>
      <c r="C53" s="4" t="s">
        <v>1013</v>
      </c>
      <c r="D53" s="417">
        <f>'[3]Gross Plant'!$AF109</f>
        <v>60826.29</v>
      </c>
      <c r="E53" s="581">
        <v>0</v>
      </c>
      <c r="F53" s="581">
        <f t="shared" si="12"/>
        <v>60826.29</v>
      </c>
      <c r="G53" s="623">
        <f t="shared" si="13"/>
        <v>1</v>
      </c>
      <c r="H53" s="623">
        <f t="shared" si="13"/>
        <v>1</v>
      </c>
      <c r="I53" s="581">
        <f t="shared" si="14"/>
        <v>60826.29</v>
      </c>
      <c r="J53" s="106"/>
      <c r="K53" s="417">
        <f>'[3]Gross Plant'!$D109</f>
        <v>60826.290000000008</v>
      </c>
      <c r="L53" s="624">
        <f t="shared" si="15"/>
        <v>1</v>
      </c>
      <c r="M53" s="624">
        <f t="shared" si="15"/>
        <v>1</v>
      </c>
      <c r="N53" s="394">
        <f t="shared" si="16"/>
        <v>60826.290000000008</v>
      </c>
    </row>
    <row r="54" spans="1:14">
      <c r="A54" s="1064">
        <f t="shared" si="1"/>
        <v>40</v>
      </c>
      <c r="B54" s="406">
        <v>36700</v>
      </c>
      <c r="C54" s="4" t="s">
        <v>861</v>
      </c>
      <c r="D54" s="417">
        <f>'[3]Gross Plant'!$AF110</f>
        <v>185508.8</v>
      </c>
      <c r="E54" s="581">
        <v>0</v>
      </c>
      <c r="F54" s="581">
        <f t="shared" si="12"/>
        <v>185508.8</v>
      </c>
      <c r="G54" s="623">
        <f t="shared" si="13"/>
        <v>1</v>
      </c>
      <c r="H54" s="623">
        <f t="shared" si="13"/>
        <v>1</v>
      </c>
      <c r="I54" s="581">
        <f t="shared" si="14"/>
        <v>185508.8</v>
      </c>
      <c r="J54" s="106"/>
      <c r="K54" s="417">
        <f>'[3]Gross Plant'!$D110</f>
        <v>185508.8</v>
      </c>
      <c r="L54" s="624">
        <f t="shared" si="15"/>
        <v>1</v>
      </c>
      <c r="M54" s="624">
        <f t="shared" si="15"/>
        <v>1</v>
      </c>
      <c r="N54" s="394">
        <f t="shared" si="16"/>
        <v>185508.8</v>
      </c>
    </row>
    <row r="55" spans="1:14">
      <c r="A55" s="1064">
        <f t="shared" si="1"/>
        <v>41</v>
      </c>
      <c r="B55" s="406">
        <v>36701</v>
      </c>
      <c r="C55" s="4" t="s">
        <v>16</v>
      </c>
      <c r="D55" s="417">
        <f>'[3]Gross Plant'!$AF111</f>
        <v>27762017.09</v>
      </c>
      <c r="E55" s="581">
        <v>0</v>
      </c>
      <c r="F55" s="581">
        <f t="shared" si="12"/>
        <v>27762017.09</v>
      </c>
      <c r="G55" s="623">
        <f t="shared" si="13"/>
        <v>1</v>
      </c>
      <c r="H55" s="623">
        <f t="shared" si="13"/>
        <v>1</v>
      </c>
      <c r="I55" s="581">
        <f t="shared" si="14"/>
        <v>27762017.09</v>
      </c>
      <c r="J55" s="106"/>
      <c r="K55" s="417">
        <f>'[3]Gross Plant'!$D111</f>
        <v>27762017.089999992</v>
      </c>
      <c r="L55" s="624">
        <f t="shared" si="15"/>
        <v>1</v>
      </c>
      <c r="M55" s="624">
        <f t="shared" si="15"/>
        <v>1</v>
      </c>
      <c r="N55" s="394">
        <f t="shared" si="16"/>
        <v>27762017.089999992</v>
      </c>
    </row>
    <row r="56" spans="1:14">
      <c r="A56" s="1064">
        <f t="shared" si="1"/>
        <v>42</v>
      </c>
      <c r="B56" s="406">
        <v>36900</v>
      </c>
      <c r="C56" s="4" t="s">
        <v>1014</v>
      </c>
      <c r="D56" s="417">
        <f>'[3]Gross Plant'!$AF112</f>
        <v>615021.88</v>
      </c>
      <c r="E56" s="581">
        <v>0</v>
      </c>
      <c r="F56" s="581">
        <f t="shared" si="12"/>
        <v>615021.88</v>
      </c>
      <c r="G56" s="623">
        <f t="shared" si="13"/>
        <v>1</v>
      </c>
      <c r="H56" s="623">
        <f t="shared" si="13"/>
        <v>1</v>
      </c>
      <c r="I56" s="581">
        <f t="shared" si="14"/>
        <v>615021.88</v>
      </c>
      <c r="J56" s="106"/>
      <c r="K56" s="417">
        <f>'[3]Gross Plant'!$D112</f>
        <v>615021.88</v>
      </c>
      <c r="L56" s="624">
        <f t="shared" si="15"/>
        <v>1</v>
      </c>
      <c r="M56" s="624">
        <f t="shared" si="15"/>
        <v>1</v>
      </c>
      <c r="N56" s="394">
        <f t="shared" si="16"/>
        <v>615021.88</v>
      </c>
    </row>
    <row r="57" spans="1:14">
      <c r="A57" s="1064">
        <f t="shared" si="1"/>
        <v>43</v>
      </c>
      <c r="B57" s="406">
        <v>36901</v>
      </c>
      <c r="C57" s="4" t="s">
        <v>1014</v>
      </c>
      <c r="D57" s="417">
        <f>'[3]Gross Plant'!$AF113</f>
        <v>2269871.41</v>
      </c>
      <c r="E57" s="1144">
        <v>0</v>
      </c>
      <c r="F57" s="1144">
        <f t="shared" si="12"/>
        <v>2269871.41</v>
      </c>
      <c r="G57" s="623">
        <f t="shared" si="13"/>
        <v>1</v>
      </c>
      <c r="H57" s="623">
        <f t="shared" si="13"/>
        <v>1</v>
      </c>
      <c r="I57" s="1144">
        <f t="shared" si="14"/>
        <v>2269871.41</v>
      </c>
      <c r="J57" s="106"/>
      <c r="K57" s="417">
        <f>'[3]Gross Plant'!$D113</f>
        <v>2269871.41</v>
      </c>
      <c r="L57" s="624">
        <f t="shared" si="15"/>
        <v>1</v>
      </c>
      <c r="M57" s="624">
        <f t="shared" si="15"/>
        <v>1</v>
      </c>
      <c r="N57" s="395">
        <f t="shared" si="16"/>
        <v>2269871.41</v>
      </c>
    </row>
    <row r="58" spans="1:14">
      <c r="A58" s="1064">
        <f t="shared" si="1"/>
        <v>44</v>
      </c>
      <c r="B58" s="424"/>
      <c r="C58" s="4"/>
      <c r="D58" s="812"/>
      <c r="E58" s="106"/>
      <c r="F58" s="106"/>
      <c r="G58" s="623"/>
      <c r="H58" s="623"/>
      <c r="I58" s="106"/>
      <c r="J58" s="106"/>
      <c r="K58" s="812"/>
    </row>
    <row r="59" spans="1:14">
      <c r="A59" s="1064">
        <f t="shared" si="1"/>
        <v>45</v>
      </c>
      <c r="B59" s="424"/>
      <c r="C59" s="4" t="s">
        <v>1404</v>
      </c>
      <c r="D59" s="462">
        <f>SUM(D50:D58)</f>
        <v>31836989.559999999</v>
      </c>
      <c r="E59" s="448">
        <f>SUM(E50:E58)</f>
        <v>0</v>
      </c>
      <c r="F59" s="462">
        <f>SUM(F50:F58)</f>
        <v>31836989.559999999</v>
      </c>
      <c r="G59" s="623"/>
      <c r="H59" s="623"/>
      <c r="I59" s="462">
        <f>SUM(I50:I58)</f>
        <v>31836989.559999999</v>
      </c>
      <c r="J59" s="106"/>
      <c r="K59" s="462">
        <f>SUM(K50:K58)</f>
        <v>31836989.559999991</v>
      </c>
      <c r="N59" s="407">
        <f>SUM(N50:N58)</f>
        <v>31836989.559999991</v>
      </c>
    </row>
    <row r="60" spans="1:14">
      <c r="A60" s="1064">
        <f t="shared" si="1"/>
        <v>46</v>
      </c>
      <c r="B60" s="424"/>
      <c r="C60" s="1"/>
      <c r="D60" s="106"/>
      <c r="E60" s="106"/>
      <c r="F60" s="106"/>
      <c r="G60" s="623"/>
      <c r="H60" s="623"/>
      <c r="I60" s="106"/>
      <c r="J60" s="106"/>
      <c r="K60" s="106"/>
    </row>
    <row r="61" spans="1:14">
      <c r="A61" s="1064">
        <f t="shared" si="1"/>
        <v>47</v>
      </c>
      <c r="B61" s="424"/>
      <c r="C61" s="17" t="s">
        <v>307</v>
      </c>
      <c r="D61" s="106"/>
      <c r="E61" s="106"/>
      <c r="F61" s="106"/>
      <c r="G61" s="623"/>
      <c r="H61" s="623"/>
      <c r="I61" s="106"/>
      <c r="J61" s="106"/>
      <c r="K61" s="106"/>
    </row>
    <row r="62" spans="1:14">
      <c r="A62" s="1064">
        <f t="shared" si="1"/>
        <v>48</v>
      </c>
      <c r="B62" s="406">
        <v>37400</v>
      </c>
      <c r="C62" s="4" t="s">
        <v>1168</v>
      </c>
      <c r="D62" s="417">
        <f>'[3]Gross Plant'!$AF114</f>
        <v>531166.79</v>
      </c>
      <c r="E62" s="1141">
        <v>0</v>
      </c>
      <c r="F62" s="1141">
        <f t="shared" ref="F62:F81" si="17">D62+E62</f>
        <v>531166.79</v>
      </c>
      <c r="G62" s="623">
        <f t="shared" ref="G62:H81" si="18">$G$16</f>
        <v>1</v>
      </c>
      <c r="H62" s="623">
        <f t="shared" si="18"/>
        <v>1</v>
      </c>
      <c r="I62" s="462">
        <f t="shared" ref="I62:I81" si="19">F62*G62*H62</f>
        <v>531166.79</v>
      </c>
      <c r="J62" s="106"/>
      <c r="K62" s="417">
        <f>'[3]Gross Plant'!$D114</f>
        <v>531166.79</v>
      </c>
      <c r="L62" s="624">
        <f t="shared" ref="L62:M81" si="20">$G$16</f>
        <v>1</v>
      </c>
      <c r="M62" s="624">
        <f t="shared" si="20"/>
        <v>1</v>
      </c>
      <c r="N62" s="389">
        <f t="shared" ref="N62:N81" si="21">K62*L62*M62</f>
        <v>531166.79</v>
      </c>
    </row>
    <row r="63" spans="1:14">
      <c r="A63" s="1064">
        <f t="shared" si="1"/>
        <v>49</v>
      </c>
      <c r="B63" s="406">
        <v>37401</v>
      </c>
      <c r="C63" s="4" t="s">
        <v>300</v>
      </c>
      <c r="D63" s="417">
        <f>'[3]Gross Plant'!$AF115</f>
        <v>37326.42</v>
      </c>
      <c r="E63" s="581">
        <v>0</v>
      </c>
      <c r="F63" s="581">
        <f t="shared" si="17"/>
        <v>37326.42</v>
      </c>
      <c r="G63" s="623">
        <f t="shared" si="18"/>
        <v>1</v>
      </c>
      <c r="H63" s="623">
        <f t="shared" si="18"/>
        <v>1</v>
      </c>
      <c r="I63" s="581">
        <f t="shared" si="19"/>
        <v>37326.42</v>
      </c>
      <c r="J63" s="106"/>
      <c r="K63" s="417">
        <f>'[3]Gross Plant'!$D115</f>
        <v>37326.419999999991</v>
      </c>
      <c r="L63" s="624">
        <f t="shared" si="20"/>
        <v>1</v>
      </c>
      <c r="M63" s="624">
        <f t="shared" si="20"/>
        <v>1</v>
      </c>
      <c r="N63" s="394">
        <f t="shared" si="21"/>
        <v>37326.419999999991</v>
      </c>
    </row>
    <row r="64" spans="1:14">
      <c r="A64" s="1064">
        <f t="shared" si="1"/>
        <v>50</v>
      </c>
      <c r="B64" s="406">
        <v>37402</v>
      </c>
      <c r="C64" s="4" t="s">
        <v>1018</v>
      </c>
      <c r="D64" s="417">
        <f>'[3]Gross Plant'!$AF116</f>
        <v>1513388.0239745222</v>
      </c>
      <c r="E64" s="581">
        <v>0</v>
      </c>
      <c r="F64" s="581">
        <f t="shared" si="17"/>
        <v>1513388.0239745222</v>
      </c>
      <c r="G64" s="623">
        <f t="shared" si="18"/>
        <v>1</v>
      </c>
      <c r="H64" s="623">
        <f t="shared" si="18"/>
        <v>1</v>
      </c>
      <c r="I64" s="581">
        <f t="shared" si="19"/>
        <v>1513388.0239745222</v>
      </c>
      <c r="J64" s="106"/>
      <c r="K64" s="417">
        <f>'[3]Gross Plant'!$D116</f>
        <v>1508932.1306592142</v>
      </c>
      <c r="L64" s="624">
        <f t="shared" si="20"/>
        <v>1</v>
      </c>
      <c r="M64" s="624">
        <f t="shared" si="20"/>
        <v>1</v>
      </c>
      <c r="N64" s="394">
        <f t="shared" si="21"/>
        <v>1508932.1306592142</v>
      </c>
    </row>
    <row r="65" spans="1:14">
      <c r="A65" s="1064">
        <f t="shared" si="1"/>
        <v>51</v>
      </c>
      <c r="B65" s="406">
        <v>37403</v>
      </c>
      <c r="C65" s="4" t="s">
        <v>1015</v>
      </c>
      <c r="D65" s="417">
        <f>'[3]Gross Plant'!$AF117</f>
        <v>2783.89</v>
      </c>
      <c r="E65" s="581">
        <v>0</v>
      </c>
      <c r="F65" s="581">
        <f t="shared" si="17"/>
        <v>2783.89</v>
      </c>
      <c r="G65" s="623">
        <f t="shared" si="18"/>
        <v>1</v>
      </c>
      <c r="H65" s="623">
        <f t="shared" si="18"/>
        <v>1</v>
      </c>
      <c r="I65" s="581">
        <f t="shared" si="19"/>
        <v>2783.89</v>
      </c>
      <c r="J65" s="106"/>
      <c r="K65" s="417">
        <f>'[3]Gross Plant'!$D117</f>
        <v>2783.89</v>
      </c>
      <c r="L65" s="624">
        <f t="shared" si="20"/>
        <v>1</v>
      </c>
      <c r="M65" s="624">
        <f t="shared" si="20"/>
        <v>1</v>
      </c>
      <c r="N65" s="394">
        <f t="shared" si="21"/>
        <v>2783.89</v>
      </c>
    </row>
    <row r="66" spans="1:14">
      <c r="A66" s="1064">
        <f t="shared" si="1"/>
        <v>52</v>
      </c>
      <c r="B66" s="406">
        <v>37500</v>
      </c>
      <c r="C66" s="4" t="s">
        <v>874</v>
      </c>
      <c r="D66" s="417">
        <f>'[3]Gross Plant'!$AF118</f>
        <v>336167.54</v>
      </c>
      <c r="E66" s="581">
        <v>0</v>
      </c>
      <c r="F66" s="581">
        <f t="shared" si="17"/>
        <v>336167.54</v>
      </c>
      <c r="G66" s="623">
        <f t="shared" si="18"/>
        <v>1</v>
      </c>
      <c r="H66" s="623">
        <f t="shared" si="18"/>
        <v>1</v>
      </c>
      <c r="I66" s="581">
        <f t="shared" si="19"/>
        <v>336167.54</v>
      </c>
      <c r="J66" s="106"/>
      <c r="K66" s="417">
        <f>'[3]Gross Plant'!$D118</f>
        <v>336167.54</v>
      </c>
      <c r="L66" s="624">
        <f t="shared" si="20"/>
        <v>1</v>
      </c>
      <c r="M66" s="624">
        <f t="shared" si="20"/>
        <v>1</v>
      </c>
      <c r="N66" s="394">
        <f t="shared" si="21"/>
        <v>336167.54</v>
      </c>
    </row>
    <row r="67" spans="1:14">
      <c r="A67" s="1064">
        <f t="shared" si="1"/>
        <v>53</v>
      </c>
      <c r="B67" s="406">
        <v>37501</v>
      </c>
      <c r="C67" s="4" t="s">
        <v>1016</v>
      </c>
      <c r="D67" s="417">
        <f>'[3]Gross Plant'!$AF119</f>
        <v>99818.13</v>
      </c>
      <c r="E67" s="581">
        <v>0</v>
      </c>
      <c r="F67" s="581">
        <f t="shared" si="17"/>
        <v>99818.13</v>
      </c>
      <c r="G67" s="623">
        <f t="shared" si="18"/>
        <v>1</v>
      </c>
      <c r="H67" s="623">
        <f t="shared" si="18"/>
        <v>1</v>
      </c>
      <c r="I67" s="581">
        <f t="shared" si="19"/>
        <v>99818.13</v>
      </c>
      <c r="J67" s="106"/>
      <c r="K67" s="417">
        <f>'[3]Gross Plant'!$D119</f>
        <v>99818.12999999999</v>
      </c>
      <c r="L67" s="624">
        <f t="shared" si="20"/>
        <v>1</v>
      </c>
      <c r="M67" s="624">
        <f t="shared" si="20"/>
        <v>1</v>
      </c>
      <c r="N67" s="394">
        <f t="shared" si="21"/>
        <v>99818.12999999999</v>
      </c>
    </row>
    <row r="68" spans="1:14">
      <c r="A68" s="1064">
        <f t="shared" si="1"/>
        <v>54</v>
      </c>
      <c r="B68" s="406">
        <v>37502</v>
      </c>
      <c r="C68" s="4" t="s">
        <v>1018</v>
      </c>
      <c r="D68" s="417">
        <f>'[3]Gross Plant'!$AF120</f>
        <v>46264.19</v>
      </c>
      <c r="E68" s="581">
        <v>0</v>
      </c>
      <c r="F68" s="581">
        <f t="shared" si="17"/>
        <v>46264.19</v>
      </c>
      <c r="G68" s="623">
        <f t="shared" si="18"/>
        <v>1</v>
      </c>
      <c r="H68" s="623">
        <f t="shared" si="18"/>
        <v>1</v>
      </c>
      <c r="I68" s="581">
        <f t="shared" si="19"/>
        <v>46264.19</v>
      </c>
      <c r="J68" s="106"/>
      <c r="K68" s="417">
        <f>'[3]Gross Plant'!$D120</f>
        <v>46264.189999999995</v>
      </c>
      <c r="L68" s="624">
        <f t="shared" si="20"/>
        <v>1</v>
      </c>
      <c r="M68" s="624">
        <f t="shared" si="20"/>
        <v>1</v>
      </c>
      <c r="N68" s="394">
        <f t="shared" si="21"/>
        <v>46264.189999999995</v>
      </c>
    </row>
    <row r="69" spans="1:14">
      <c r="A69" s="1064">
        <f t="shared" si="1"/>
        <v>55</v>
      </c>
      <c r="B69" s="406">
        <v>37503</v>
      </c>
      <c r="C69" s="4" t="s">
        <v>1017</v>
      </c>
      <c r="D69" s="417">
        <f>'[3]Gross Plant'!$AF121</f>
        <v>4005.08</v>
      </c>
      <c r="E69" s="581">
        <v>0</v>
      </c>
      <c r="F69" s="581">
        <f t="shared" si="17"/>
        <v>4005.08</v>
      </c>
      <c r="G69" s="623">
        <f t="shared" si="18"/>
        <v>1</v>
      </c>
      <c r="H69" s="623">
        <f t="shared" si="18"/>
        <v>1</v>
      </c>
      <c r="I69" s="581">
        <f t="shared" si="19"/>
        <v>4005.08</v>
      </c>
      <c r="J69" s="106"/>
      <c r="K69" s="417">
        <f>'[3]Gross Plant'!$D121</f>
        <v>4005.0800000000013</v>
      </c>
      <c r="L69" s="624">
        <f t="shared" si="20"/>
        <v>1</v>
      </c>
      <c r="M69" s="624">
        <f t="shared" si="20"/>
        <v>1</v>
      </c>
      <c r="N69" s="394">
        <f t="shared" si="21"/>
        <v>4005.0800000000013</v>
      </c>
    </row>
    <row r="70" spans="1:14">
      <c r="A70" s="1064">
        <f t="shared" si="1"/>
        <v>56</v>
      </c>
      <c r="B70" s="406">
        <v>37600</v>
      </c>
      <c r="C70" s="4" t="s">
        <v>861</v>
      </c>
      <c r="D70" s="417">
        <f>'[3]Gross Plant'!$AF122</f>
        <v>19833751.278842039</v>
      </c>
      <c r="E70" s="581">
        <v>0</v>
      </c>
      <c r="F70" s="581">
        <f t="shared" si="17"/>
        <v>19833751.278842039</v>
      </c>
      <c r="G70" s="623">
        <f t="shared" si="18"/>
        <v>1</v>
      </c>
      <c r="H70" s="623">
        <f t="shared" si="18"/>
        <v>1</v>
      </c>
      <c r="I70" s="581">
        <f t="shared" si="19"/>
        <v>19833751.278842039</v>
      </c>
      <c r="J70" s="106"/>
      <c r="K70" s="417">
        <f>'[3]Gross Plant'!$D122</f>
        <v>20008047.633832872</v>
      </c>
      <c r="L70" s="624">
        <f t="shared" si="20"/>
        <v>1</v>
      </c>
      <c r="M70" s="624">
        <f t="shared" si="20"/>
        <v>1</v>
      </c>
      <c r="N70" s="394">
        <f t="shared" si="21"/>
        <v>20008047.633832872</v>
      </c>
    </row>
    <row r="71" spans="1:14">
      <c r="A71" s="1064">
        <f t="shared" si="1"/>
        <v>57</v>
      </c>
      <c r="B71" s="406">
        <v>37601</v>
      </c>
      <c r="C71" s="4" t="s">
        <v>16</v>
      </c>
      <c r="D71" s="417">
        <f>'[3]Gross Plant'!$AF123</f>
        <v>115579828.29073457</v>
      </c>
      <c r="E71" s="581">
        <v>0</v>
      </c>
      <c r="F71" s="581">
        <f t="shared" si="17"/>
        <v>115579828.29073457</v>
      </c>
      <c r="G71" s="623">
        <f t="shared" si="18"/>
        <v>1</v>
      </c>
      <c r="H71" s="623">
        <f t="shared" si="18"/>
        <v>1</v>
      </c>
      <c r="I71" s="581">
        <f t="shared" si="19"/>
        <v>115579828.29073457</v>
      </c>
      <c r="J71" s="106"/>
      <c r="K71" s="417">
        <f>'[3]Gross Plant'!$D123</f>
        <v>112357720.54772933</v>
      </c>
      <c r="L71" s="624">
        <f t="shared" si="20"/>
        <v>1</v>
      </c>
      <c r="M71" s="624">
        <f t="shared" si="20"/>
        <v>1</v>
      </c>
      <c r="N71" s="394">
        <f t="shared" si="21"/>
        <v>112357720.54772933</v>
      </c>
    </row>
    <row r="72" spans="1:14">
      <c r="A72" s="1064">
        <f t="shared" si="1"/>
        <v>58</v>
      </c>
      <c r="B72" s="406">
        <v>37602</v>
      </c>
      <c r="C72" s="4" t="s">
        <v>862</v>
      </c>
      <c r="D72" s="417">
        <f>'[3]Gross Plant'!$AF124</f>
        <v>103614836.63154207</v>
      </c>
      <c r="E72" s="581">
        <v>0</v>
      </c>
      <c r="F72" s="581">
        <f t="shared" si="17"/>
        <v>103614836.63154207</v>
      </c>
      <c r="G72" s="623">
        <f t="shared" si="18"/>
        <v>1</v>
      </c>
      <c r="H72" s="623">
        <f t="shared" si="18"/>
        <v>1</v>
      </c>
      <c r="I72" s="581">
        <f t="shared" si="19"/>
        <v>103614836.63154207</v>
      </c>
      <c r="J72" s="106"/>
      <c r="K72" s="417">
        <f>'[3]Gross Plant'!$D124</f>
        <v>97163196.540185437</v>
      </c>
      <c r="L72" s="624">
        <f t="shared" si="20"/>
        <v>1</v>
      </c>
      <c r="M72" s="624">
        <f t="shared" si="20"/>
        <v>1</v>
      </c>
      <c r="N72" s="394">
        <f t="shared" si="21"/>
        <v>97163196.540185437</v>
      </c>
    </row>
    <row r="73" spans="1:14">
      <c r="A73" s="1064">
        <f t="shared" si="1"/>
        <v>59</v>
      </c>
      <c r="B73" s="406">
        <v>37800</v>
      </c>
      <c r="C73" s="4" t="s">
        <v>234</v>
      </c>
      <c r="D73" s="417">
        <f>'[3]Gross Plant'!$AF125</f>
        <v>7701650.5903896168</v>
      </c>
      <c r="E73" s="581">
        <v>0</v>
      </c>
      <c r="F73" s="581">
        <f t="shared" si="17"/>
        <v>7701650.5903896168</v>
      </c>
      <c r="G73" s="623">
        <f t="shared" si="18"/>
        <v>1</v>
      </c>
      <c r="H73" s="623">
        <f t="shared" si="18"/>
        <v>1</v>
      </c>
      <c r="I73" s="581">
        <f t="shared" si="19"/>
        <v>7701650.5903896168</v>
      </c>
      <c r="J73" s="106"/>
      <c r="K73" s="417">
        <f>'[3]Gross Plant'!$D125</f>
        <v>7462836.8265099321</v>
      </c>
      <c r="L73" s="624">
        <f t="shared" si="20"/>
        <v>1</v>
      </c>
      <c r="M73" s="624">
        <f t="shared" si="20"/>
        <v>1</v>
      </c>
      <c r="N73" s="394">
        <f t="shared" si="21"/>
        <v>7462836.8265099321</v>
      </c>
    </row>
    <row r="74" spans="1:14">
      <c r="A74" s="1064">
        <f t="shared" si="1"/>
        <v>60</v>
      </c>
      <c r="B74" s="406">
        <v>37900</v>
      </c>
      <c r="C74" s="4" t="s">
        <v>1211</v>
      </c>
      <c r="D74" s="417">
        <f>'[3]Gross Plant'!$AF126</f>
        <v>3235231.1597220493</v>
      </c>
      <c r="E74" s="581">
        <v>0</v>
      </c>
      <c r="F74" s="581">
        <f t="shared" si="17"/>
        <v>3235231.1597220493</v>
      </c>
      <c r="G74" s="623">
        <f t="shared" si="18"/>
        <v>1</v>
      </c>
      <c r="H74" s="623">
        <f t="shared" si="18"/>
        <v>1</v>
      </c>
      <c r="I74" s="581">
        <f t="shared" si="19"/>
        <v>3235231.1597220493</v>
      </c>
      <c r="J74" s="106"/>
      <c r="K74" s="417">
        <f>'[3]Gross Plant'!$D126</f>
        <v>3151874.9211629597</v>
      </c>
      <c r="L74" s="624">
        <f t="shared" si="20"/>
        <v>1</v>
      </c>
      <c r="M74" s="624">
        <f t="shared" si="20"/>
        <v>1</v>
      </c>
      <c r="N74" s="394">
        <f t="shared" si="21"/>
        <v>3151874.9211629597</v>
      </c>
    </row>
    <row r="75" spans="1:14">
      <c r="A75" s="1064">
        <f t="shared" si="1"/>
        <v>61</v>
      </c>
      <c r="B75" s="406">
        <v>37905</v>
      </c>
      <c r="C75" s="4" t="s">
        <v>742</v>
      </c>
      <c r="D75" s="417">
        <f>'[3]Gross Plant'!$AF127</f>
        <v>1393820.61</v>
      </c>
      <c r="E75" s="581">
        <v>0</v>
      </c>
      <c r="F75" s="581">
        <f t="shared" si="17"/>
        <v>1393820.61</v>
      </c>
      <c r="G75" s="623">
        <f t="shared" si="18"/>
        <v>1</v>
      </c>
      <c r="H75" s="623">
        <f t="shared" si="18"/>
        <v>1</v>
      </c>
      <c r="I75" s="581">
        <f t="shared" si="19"/>
        <v>1393820.61</v>
      </c>
      <c r="J75" s="106"/>
      <c r="K75" s="417">
        <f>'[3]Gross Plant'!$D127</f>
        <v>1393820.6099999999</v>
      </c>
      <c r="L75" s="624">
        <f t="shared" si="20"/>
        <v>1</v>
      </c>
      <c r="M75" s="624">
        <f t="shared" si="20"/>
        <v>1</v>
      </c>
      <c r="N75" s="394">
        <f t="shared" si="21"/>
        <v>1393820.6099999999</v>
      </c>
    </row>
    <row r="76" spans="1:14">
      <c r="A76" s="1064">
        <f t="shared" si="1"/>
        <v>62</v>
      </c>
      <c r="B76" s="406">
        <v>38000</v>
      </c>
      <c r="C76" s="4" t="s">
        <v>1072</v>
      </c>
      <c r="D76" s="417">
        <f>'[3]Gross Plant'!$AF128</f>
        <v>121199933.13873078</v>
      </c>
      <c r="E76" s="581">
        <v>0</v>
      </c>
      <c r="F76" s="581">
        <f t="shared" si="17"/>
        <v>121199933.13873078</v>
      </c>
      <c r="G76" s="623">
        <f t="shared" si="18"/>
        <v>1</v>
      </c>
      <c r="H76" s="623">
        <f t="shared" si="18"/>
        <v>1</v>
      </c>
      <c r="I76" s="581">
        <f t="shared" si="19"/>
        <v>121199933.13873078</v>
      </c>
      <c r="J76" s="106"/>
      <c r="K76" s="417">
        <f>'[3]Gross Plant'!$D128</f>
        <v>118202045.19986632</v>
      </c>
      <c r="L76" s="624">
        <f t="shared" si="20"/>
        <v>1</v>
      </c>
      <c r="M76" s="624">
        <f t="shared" si="20"/>
        <v>1</v>
      </c>
      <c r="N76" s="394">
        <f t="shared" si="21"/>
        <v>118202045.19986632</v>
      </c>
    </row>
    <row r="77" spans="1:14">
      <c r="A77" s="1064">
        <f t="shared" si="1"/>
        <v>63</v>
      </c>
      <c r="B77" s="406">
        <v>38100</v>
      </c>
      <c r="C77" s="4" t="s">
        <v>863</v>
      </c>
      <c r="D77" s="417">
        <f>'[3]Gross Plant'!$AF129</f>
        <v>36824531.023638383</v>
      </c>
      <c r="E77" s="581">
        <v>0</v>
      </c>
      <c r="F77" s="581">
        <f t="shared" si="17"/>
        <v>36824531.023638383</v>
      </c>
      <c r="G77" s="623">
        <f t="shared" si="18"/>
        <v>1</v>
      </c>
      <c r="H77" s="623">
        <f t="shared" si="18"/>
        <v>1</v>
      </c>
      <c r="I77" s="581">
        <f t="shared" si="19"/>
        <v>36824531.023638383</v>
      </c>
      <c r="J77" s="106"/>
      <c r="K77" s="417">
        <f>'[3]Gross Plant'!$D129</f>
        <v>34690273.057552174</v>
      </c>
      <c r="L77" s="624">
        <f t="shared" si="20"/>
        <v>1</v>
      </c>
      <c r="M77" s="624">
        <f t="shared" si="20"/>
        <v>1</v>
      </c>
      <c r="N77" s="394">
        <f t="shared" si="21"/>
        <v>34690273.057552174</v>
      </c>
    </row>
    <row r="78" spans="1:14">
      <c r="A78" s="1064">
        <f t="shared" si="1"/>
        <v>64</v>
      </c>
      <c r="B78" s="406">
        <v>38200</v>
      </c>
      <c r="C78" s="4" t="s">
        <v>456</v>
      </c>
      <c r="D78" s="417">
        <f>'[3]Gross Plant'!$AF130</f>
        <v>51934012.307934128</v>
      </c>
      <c r="E78" s="581">
        <v>0</v>
      </c>
      <c r="F78" s="581">
        <f t="shared" si="17"/>
        <v>51934012.307934128</v>
      </c>
      <c r="G78" s="623">
        <f t="shared" si="18"/>
        <v>1</v>
      </c>
      <c r="H78" s="623">
        <f t="shared" si="18"/>
        <v>1</v>
      </c>
      <c r="I78" s="581">
        <f t="shared" si="19"/>
        <v>51934012.307934128</v>
      </c>
      <c r="J78" s="106"/>
      <c r="K78" s="417">
        <f>'[3]Gross Plant'!$D130</f>
        <v>51632550.034519844</v>
      </c>
      <c r="L78" s="624">
        <f t="shared" si="20"/>
        <v>1</v>
      </c>
      <c r="M78" s="624">
        <f t="shared" si="20"/>
        <v>1</v>
      </c>
      <c r="N78" s="394">
        <f t="shared" si="21"/>
        <v>51632550.034519844</v>
      </c>
    </row>
    <row r="79" spans="1:14">
      <c r="A79" s="1064">
        <f t="shared" si="1"/>
        <v>65</v>
      </c>
      <c r="B79" s="406">
        <v>38300</v>
      </c>
      <c r="C79" s="4" t="s">
        <v>1073</v>
      </c>
      <c r="D79" s="417">
        <f>'[3]Gross Plant'!$AF131</f>
        <v>8508625.644046491</v>
      </c>
      <c r="E79" s="581">
        <v>0</v>
      </c>
      <c r="F79" s="581">
        <f t="shared" si="17"/>
        <v>8508625.644046491</v>
      </c>
      <c r="G79" s="623">
        <f t="shared" si="18"/>
        <v>1</v>
      </c>
      <c r="H79" s="623">
        <f t="shared" si="18"/>
        <v>1</v>
      </c>
      <c r="I79" s="581">
        <f t="shared" si="19"/>
        <v>8508625.644046491</v>
      </c>
      <c r="J79" s="106"/>
      <c r="K79" s="417">
        <f>'[3]Gross Plant'!$D131</f>
        <v>8425356.3026922084</v>
      </c>
      <c r="L79" s="624">
        <f t="shared" si="20"/>
        <v>1</v>
      </c>
      <c r="M79" s="624">
        <f t="shared" si="20"/>
        <v>1</v>
      </c>
      <c r="N79" s="394">
        <f t="shared" si="21"/>
        <v>8425356.3026922084</v>
      </c>
    </row>
    <row r="80" spans="1:14">
      <c r="A80" s="1064">
        <f t="shared" si="1"/>
        <v>66</v>
      </c>
      <c r="B80" s="406">
        <v>38400</v>
      </c>
      <c r="C80" s="4" t="s">
        <v>457</v>
      </c>
      <c r="D80" s="417">
        <f>'[3]Gross Plant'!$AF132</f>
        <v>154276.35999999999</v>
      </c>
      <c r="E80" s="581">
        <v>0</v>
      </c>
      <c r="F80" s="581">
        <f t="shared" si="17"/>
        <v>154276.35999999999</v>
      </c>
      <c r="G80" s="623">
        <f t="shared" si="18"/>
        <v>1</v>
      </c>
      <c r="H80" s="623">
        <f t="shared" si="18"/>
        <v>1</v>
      </c>
      <c r="I80" s="581">
        <f t="shared" si="19"/>
        <v>154276.35999999999</v>
      </c>
      <c r="J80" s="106"/>
      <c r="K80" s="417">
        <f>'[3]Gross Plant'!$D132</f>
        <v>154276.35999999993</v>
      </c>
      <c r="L80" s="624">
        <f t="shared" si="20"/>
        <v>1</v>
      </c>
      <c r="M80" s="624">
        <f t="shared" si="20"/>
        <v>1</v>
      </c>
      <c r="N80" s="394">
        <f t="shared" si="21"/>
        <v>154276.35999999993</v>
      </c>
    </row>
    <row r="81" spans="1:14">
      <c r="A81" s="1064">
        <f t="shared" ref="A81:A144" si="22">A80+1</f>
        <v>67</v>
      </c>
      <c r="B81" s="406">
        <v>38500</v>
      </c>
      <c r="C81" s="4" t="s">
        <v>458</v>
      </c>
      <c r="D81" s="417">
        <f>'[3]Gross Plant'!$AF133</f>
        <v>5476057.1042412603</v>
      </c>
      <c r="E81" s="581">
        <v>0</v>
      </c>
      <c r="F81" s="581">
        <f t="shared" si="17"/>
        <v>5476057.1042412603</v>
      </c>
      <c r="G81" s="623">
        <f t="shared" si="18"/>
        <v>1</v>
      </c>
      <c r="H81" s="623">
        <f t="shared" si="18"/>
        <v>1</v>
      </c>
      <c r="I81" s="581">
        <f t="shared" si="19"/>
        <v>5476057.1042412603</v>
      </c>
      <c r="J81" s="106"/>
      <c r="K81" s="417">
        <f>'[3]Gross Plant'!$D133</f>
        <v>5433872.7290307675</v>
      </c>
      <c r="L81" s="624">
        <f t="shared" si="20"/>
        <v>1</v>
      </c>
      <c r="M81" s="624">
        <f t="shared" si="20"/>
        <v>1</v>
      </c>
      <c r="N81" s="394">
        <f t="shared" si="21"/>
        <v>5433872.7290307675</v>
      </c>
    </row>
    <row r="82" spans="1:14">
      <c r="A82" s="1064">
        <f t="shared" si="22"/>
        <v>68</v>
      </c>
      <c r="B82" s="424"/>
      <c r="C82" s="4"/>
      <c r="D82" s="812"/>
      <c r="E82" s="812"/>
      <c r="F82" s="812"/>
      <c r="G82" s="623"/>
      <c r="H82" s="623"/>
      <c r="I82" s="812"/>
      <c r="J82" s="106"/>
      <c r="K82" s="812"/>
      <c r="N82" s="789"/>
    </row>
    <row r="83" spans="1:14">
      <c r="A83" s="1064">
        <f t="shared" si="22"/>
        <v>69</v>
      </c>
      <c r="B83" s="424"/>
      <c r="C83" s="4" t="s">
        <v>308</v>
      </c>
      <c r="D83" s="462">
        <f>SUM(D62:D82)</f>
        <v>478027474.20379591</v>
      </c>
      <c r="E83" s="448">
        <f>SUM(E62:E82)</f>
        <v>0</v>
      </c>
      <c r="F83" s="462">
        <f>SUM(F62:F82)</f>
        <v>478027474.20379591</v>
      </c>
      <c r="G83" s="623"/>
      <c r="H83" s="623"/>
      <c r="I83" s="462">
        <f>SUM(I62:I82)</f>
        <v>478027474.20379591</v>
      </c>
      <c r="J83" s="106"/>
      <c r="K83" s="462">
        <f>SUM(K62:K82)</f>
        <v>462642334.93374115</v>
      </c>
      <c r="N83" s="407">
        <f>SUM(N62:N82)</f>
        <v>462642334.93374115</v>
      </c>
    </row>
    <row r="84" spans="1:14">
      <c r="A84" s="1064">
        <f t="shared" si="22"/>
        <v>70</v>
      </c>
      <c r="B84" s="424"/>
      <c r="C84" s="4"/>
      <c r="D84" s="106"/>
      <c r="E84" s="106"/>
      <c r="F84" s="106"/>
      <c r="G84" s="623"/>
      <c r="H84" s="623"/>
      <c r="I84" s="106"/>
      <c r="J84" s="106"/>
      <c r="K84" s="106"/>
    </row>
    <row r="85" spans="1:14">
      <c r="A85" s="1064">
        <f t="shared" si="22"/>
        <v>71</v>
      </c>
      <c r="B85" s="424"/>
      <c r="C85" s="17" t="s">
        <v>309</v>
      </c>
      <c r="D85" s="106"/>
      <c r="E85" s="106"/>
      <c r="F85" s="106"/>
      <c r="G85" s="623"/>
      <c r="H85" s="623"/>
      <c r="I85" s="106"/>
      <c r="J85" s="106"/>
      <c r="K85" s="106"/>
    </row>
    <row r="86" spans="1:14">
      <c r="A86" s="1064">
        <f t="shared" si="22"/>
        <v>72</v>
      </c>
      <c r="B86" s="406">
        <v>38900</v>
      </c>
      <c r="C86" s="4" t="s">
        <v>1168</v>
      </c>
      <c r="D86" s="417">
        <f>'[3]Gross Plant'!$AF134</f>
        <v>1027349.7</v>
      </c>
      <c r="E86" s="1141">
        <v>0</v>
      </c>
      <c r="F86" s="1141">
        <f t="shared" ref="F86:F105" si="23">D86+E86</f>
        <v>1027349.7</v>
      </c>
      <c r="G86" s="623">
        <f t="shared" ref="G86:H99" si="24">$G$16</f>
        <v>1</v>
      </c>
      <c r="H86" s="623">
        <f t="shared" si="24"/>
        <v>1</v>
      </c>
      <c r="I86" s="462">
        <f t="shared" ref="I86:I105" si="25">F86*G86*H86</f>
        <v>1027349.7</v>
      </c>
      <c r="J86" s="106"/>
      <c r="K86" s="417">
        <f>'[3]Gross Plant'!$D134</f>
        <v>1027349.6999999998</v>
      </c>
      <c r="L86" s="624">
        <f>$G$16</f>
        <v>1</v>
      </c>
      <c r="M86" s="624">
        <f>$G$16</f>
        <v>1</v>
      </c>
      <c r="N86" s="389">
        <f>K86*L86*M86</f>
        <v>1027349.6999999998</v>
      </c>
    </row>
    <row r="87" spans="1:14">
      <c r="A87" s="1064">
        <f t="shared" si="22"/>
        <v>73</v>
      </c>
      <c r="B87" s="406">
        <v>39000</v>
      </c>
      <c r="C87" s="4" t="s">
        <v>874</v>
      </c>
      <c r="D87" s="417">
        <f>'[3]Gross Plant'!$AF135</f>
        <v>5400555.5651543681</v>
      </c>
      <c r="E87" s="581">
        <v>0</v>
      </c>
      <c r="F87" s="581">
        <f t="shared" si="23"/>
        <v>5400555.5651543681</v>
      </c>
      <c r="G87" s="623">
        <f t="shared" si="24"/>
        <v>1</v>
      </c>
      <c r="H87" s="623">
        <f t="shared" si="24"/>
        <v>1</v>
      </c>
      <c r="I87" s="581">
        <f t="shared" si="25"/>
        <v>5400555.5651543681</v>
      </c>
      <c r="J87" s="106"/>
      <c r="K87" s="417">
        <f>'[3]Gross Plant'!$D135</f>
        <v>5235434.4975332627</v>
      </c>
      <c r="L87" s="624">
        <f>$G$16</f>
        <v>1</v>
      </c>
      <c r="M87" s="624">
        <f>$G$16</f>
        <v>1</v>
      </c>
      <c r="N87" s="394">
        <f t="shared" ref="N87:N105" si="26">K87*L87*M87</f>
        <v>5235434.4975332627</v>
      </c>
    </row>
    <row r="88" spans="1:14">
      <c r="A88" s="1064">
        <f t="shared" si="22"/>
        <v>74</v>
      </c>
      <c r="B88" s="406">
        <v>39002</v>
      </c>
      <c r="C88" s="4" t="s">
        <v>764</v>
      </c>
      <c r="D88" s="417">
        <f>'[3]Gross Plant'!$AF136</f>
        <v>173114.85</v>
      </c>
      <c r="E88" s="581">
        <v>0</v>
      </c>
      <c r="F88" s="581">
        <f t="shared" si="23"/>
        <v>173114.85</v>
      </c>
      <c r="G88" s="623">
        <f t="shared" si="24"/>
        <v>1</v>
      </c>
      <c r="H88" s="623">
        <f t="shared" si="24"/>
        <v>1</v>
      </c>
      <c r="I88" s="581">
        <f t="shared" si="25"/>
        <v>173114.85</v>
      </c>
      <c r="J88" s="106"/>
      <c r="K88" s="417">
        <f>'[3]Gross Plant'!$D136</f>
        <v>173114.85000000003</v>
      </c>
      <c r="L88" s="624">
        <f t="shared" ref="L88:M99" si="27">$G$16</f>
        <v>1</v>
      </c>
      <c r="M88" s="624">
        <f t="shared" si="27"/>
        <v>1</v>
      </c>
      <c r="N88" s="394">
        <f t="shared" si="26"/>
        <v>173114.85000000003</v>
      </c>
    </row>
    <row r="89" spans="1:14">
      <c r="A89" s="1064">
        <f t="shared" si="22"/>
        <v>75</v>
      </c>
      <c r="B89" s="406">
        <v>39003</v>
      </c>
      <c r="C89" s="4" t="s">
        <v>1017</v>
      </c>
      <c r="D89" s="417">
        <f>'[3]Gross Plant'!$AF137</f>
        <v>709199.18</v>
      </c>
      <c r="E89" s="581">
        <v>0</v>
      </c>
      <c r="F89" s="581">
        <f t="shared" si="23"/>
        <v>709199.18</v>
      </c>
      <c r="G89" s="623">
        <f t="shared" si="24"/>
        <v>1</v>
      </c>
      <c r="H89" s="623">
        <f t="shared" si="24"/>
        <v>1</v>
      </c>
      <c r="I89" s="581">
        <f t="shared" si="25"/>
        <v>709199.18</v>
      </c>
      <c r="J89" s="106"/>
      <c r="K89" s="417">
        <f>'[3]Gross Plant'!$D137</f>
        <v>709199.17999999982</v>
      </c>
      <c r="L89" s="624">
        <f t="shared" si="27"/>
        <v>1</v>
      </c>
      <c r="M89" s="624">
        <f t="shared" si="27"/>
        <v>1</v>
      </c>
      <c r="N89" s="394">
        <f t="shared" si="26"/>
        <v>709199.17999999982</v>
      </c>
    </row>
    <row r="90" spans="1:14">
      <c r="A90" s="1064">
        <f t="shared" si="22"/>
        <v>76</v>
      </c>
      <c r="B90" s="406">
        <v>39004</v>
      </c>
      <c r="C90" s="4" t="s">
        <v>459</v>
      </c>
      <c r="D90" s="417">
        <f>'[3]Gross Plant'!$AF138</f>
        <v>7461.49</v>
      </c>
      <c r="E90" s="581">
        <v>0</v>
      </c>
      <c r="F90" s="581">
        <f t="shared" si="23"/>
        <v>7461.49</v>
      </c>
      <c r="G90" s="623">
        <f t="shared" si="24"/>
        <v>1</v>
      </c>
      <c r="H90" s="623">
        <f t="shared" si="24"/>
        <v>1</v>
      </c>
      <c r="I90" s="581">
        <f t="shared" si="25"/>
        <v>7461.49</v>
      </c>
      <c r="J90" s="106"/>
      <c r="K90" s="417">
        <f>'[3]Gross Plant'!$D138</f>
        <v>7461.4900000000007</v>
      </c>
      <c r="L90" s="624">
        <f t="shared" si="27"/>
        <v>1</v>
      </c>
      <c r="M90" s="624">
        <f t="shared" si="27"/>
        <v>1</v>
      </c>
      <c r="N90" s="394">
        <f t="shared" si="26"/>
        <v>7461.4900000000007</v>
      </c>
    </row>
    <row r="91" spans="1:14">
      <c r="A91" s="1064">
        <f t="shared" si="22"/>
        <v>77</v>
      </c>
      <c r="B91" s="406">
        <v>39009</v>
      </c>
      <c r="C91" s="4" t="s">
        <v>1056</v>
      </c>
      <c r="D91" s="417">
        <f>'[3]Gross Plant'!$AF139</f>
        <v>1246194.18</v>
      </c>
      <c r="E91" s="581">
        <v>0</v>
      </c>
      <c r="F91" s="581">
        <f t="shared" si="23"/>
        <v>1246194.18</v>
      </c>
      <c r="G91" s="623">
        <f t="shared" si="24"/>
        <v>1</v>
      </c>
      <c r="H91" s="623">
        <f t="shared" si="24"/>
        <v>1</v>
      </c>
      <c r="I91" s="581">
        <f t="shared" si="25"/>
        <v>1246194.18</v>
      </c>
      <c r="J91" s="106"/>
      <c r="K91" s="417">
        <f>'[3]Gross Plant'!$D139</f>
        <v>1246194.18</v>
      </c>
      <c r="L91" s="624">
        <f t="shared" si="27"/>
        <v>1</v>
      </c>
      <c r="M91" s="624">
        <f t="shared" si="27"/>
        <v>1</v>
      </c>
      <c r="N91" s="394">
        <f t="shared" si="26"/>
        <v>1246194.18</v>
      </c>
    </row>
    <row r="92" spans="1:14">
      <c r="A92" s="1064">
        <f t="shared" si="22"/>
        <v>78</v>
      </c>
      <c r="B92" s="406">
        <v>39100</v>
      </c>
      <c r="C92" s="4" t="s">
        <v>796</v>
      </c>
      <c r="D92" s="417">
        <f>'[3]Gross Plant'!$AF140</f>
        <v>2006247.0434882902</v>
      </c>
      <c r="E92" s="581">
        <v>0</v>
      </c>
      <c r="F92" s="581">
        <f t="shared" si="23"/>
        <v>2006247.0434882902</v>
      </c>
      <c r="G92" s="623">
        <f t="shared" si="24"/>
        <v>1</v>
      </c>
      <c r="H92" s="623">
        <f t="shared" si="24"/>
        <v>1</v>
      </c>
      <c r="I92" s="581">
        <f t="shared" si="25"/>
        <v>2006247.0434882902</v>
      </c>
      <c r="J92" s="106"/>
      <c r="K92" s="417">
        <f>'[3]Gross Plant'!$D140</f>
        <v>1943486.6371535859</v>
      </c>
      <c r="L92" s="624">
        <f t="shared" si="27"/>
        <v>1</v>
      </c>
      <c r="M92" s="624">
        <f t="shared" si="27"/>
        <v>1</v>
      </c>
      <c r="N92" s="394">
        <f t="shared" si="26"/>
        <v>1943486.6371535859</v>
      </c>
    </row>
    <row r="93" spans="1:14">
      <c r="A93" s="1064">
        <f t="shared" si="22"/>
        <v>79</v>
      </c>
      <c r="B93" s="406">
        <v>39200</v>
      </c>
      <c r="C93" s="4" t="s">
        <v>1096</v>
      </c>
      <c r="D93" s="417">
        <f>'[3]Gross Plant'!$AF141</f>
        <v>362906.41</v>
      </c>
      <c r="E93" s="581">
        <v>0</v>
      </c>
      <c r="F93" s="581">
        <f t="shared" si="23"/>
        <v>362906.41</v>
      </c>
      <c r="G93" s="623">
        <f t="shared" si="24"/>
        <v>1</v>
      </c>
      <c r="H93" s="623">
        <f t="shared" si="24"/>
        <v>1</v>
      </c>
      <c r="I93" s="581">
        <f t="shared" si="25"/>
        <v>362906.41</v>
      </c>
      <c r="J93" s="106"/>
      <c r="K93" s="417">
        <f>'[3]Gross Plant'!$D141</f>
        <v>362906.41000000009</v>
      </c>
      <c r="L93" s="624">
        <f t="shared" si="27"/>
        <v>1</v>
      </c>
      <c r="M93" s="624">
        <f t="shared" si="27"/>
        <v>1</v>
      </c>
      <c r="N93" s="394">
        <f t="shared" si="26"/>
        <v>362906.41000000009</v>
      </c>
    </row>
    <row r="94" spans="1:14">
      <c r="A94" s="1064">
        <f t="shared" si="22"/>
        <v>80</v>
      </c>
      <c r="B94" s="406">
        <v>39202</v>
      </c>
      <c r="C94" s="4" t="s">
        <v>91</v>
      </c>
      <c r="D94" s="417">
        <f>'[3]Gross Plant'!$AF142</f>
        <v>33191.910000000003</v>
      </c>
      <c r="E94" s="581">
        <v>0</v>
      </c>
      <c r="F94" s="581">
        <f t="shared" si="23"/>
        <v>33191.910000000003</v>
      </c>
      <c r="G94" s="623">
        <f t="shared" si="24"/>
        <v>1</v>
      </c>
      <c r="H94" s="623">
        <f t="shared" si="24"/>
        <v>1</v>
      </c>
      <c r="I94" s="581">
        <f t="shared" si="25"/>
        <v>33191.910000000003</v>
      </c>
      <c r="J94" s="106"/>
      <c r="K94" s="417">
        <f>'[3]Gross Plant'!$D142</f>
        <v>33191.910000000018</v>
      </c>
      <c r="L94" s="624">
        <f t="shared" si="27"/>
        <v>1</v>
      </c>
      <c r="M94" s="624">
        <f t="shared" si="27"/>
        <v>1</v>
      </c>
      <c r="N94" s="394">
        <f t="shared" si="26"/>
        <v>33191.910000000018</v>
      </c>
    </row>
    <row r="95" spans="1:14">
      <c r="A95" s="1064">
        <f t="shared" si="22"/>
        <v>81</v>
      </c>
      <c r="B95" s="406">
        <v>39400</v>
      </c>
      <c r="C95" s="4" t="s">
        <v>1055</v>
      </c>
      <c r="D95" s="417">
        <f>'[3]Gross Plant'!$AF143</f>
        <v>2808449.9430683781</v>
      </c>
      <c r="E95" s="581">
        <v>0</v>
      </c>
      <c r="F95" s="581">
        <f t="shared" si="23"/>
        <v>2808449.9430683781</v>
      </c>
      <c r="G95" s="623">
        <f t="shared" si="24"/>
        <v>1</v>
      </c>
      <c r="H95" s="623">
        <f t="shared" si="24"/>
        <v>1</v>
      </c>
      <c r="I95" s="581">
        <f t="shared" si="25"/>
        <v>2808449.9430683781</v>
      </c>
      <c r="J95" s="106"/>
      <c r="K95" s="417">
        <f>'[3]Gross Plant'!$D143</f>
        <v>2654268.688659105</v>
      </c>
      <c r="L95" s="624">
        <f t="shared" si="27"/>
        <v>1</v>
      </c>
      <c r="M95" s="624">
        <f t="shared" si="27"/>
        <v>1</v>
      </c>
      <c r="N95" s="394">
        <f t="shared" si="26"/>
        <v>2654268.688659105</v>
      </c>
    </row>
    <row r="96" spans="1:14">
      <c r="A96" s="1064">
        <f t="shared" si="22"/>
        <v>82</v>
      </c>
      <c r="B96" s="406">
        <v>39603</v>
      </c>
      <c r="C96" s="4" t="s">
        <v>92</v>
      </c>
      <c r="D96" s="417">
        <f>'[3]Gross Plant'!$AF144</f>
        <v>47302.960000000006</v>
      </c>
      <c r="E96" s="581">
        <v>0</v>
      </c>
      <c r="F96" s="581">
        <f t="shared" si="23"/>
        <v>47302.960000000006</v>
      </c>
      <c r="G96" s="623">
        <f t="shared" si="24"/>
        <v>1</v>
      </c>
      <c r="H96" s="623">
        <f t="shared" si="24"/>
        <v>1</v>
      </c>
      <c r="I96" s="581">
        <f t="shared" si="25"/>
        <v>47302.960000000006</v>
      </c>
      <c r="J96" s="106"/>
      <c r="K96" s="417">
        <f>'[3]Gross Plant'!$D144</f>
        <v>47302.960000000006</v>
      </c>
      <c r="L96" s="624">
        <f t="shared" si="27"/>
        <v>1</v>
      </c>
      <c r="M96" s="624">
        <f t="shared" si="27"/>
        <v>1</v>
      </c>
      <c r="N96" s="394">
        <f t="shared" si="26"/>
        <v>47302.960000000006</v>
      </c>
    </row>
    <row r="97" spans="1:17">
      <c r="A97" s="1064">
        <f t="shared" si="22"/>
        <v>83</v>
      </c>
      <c r="B97" s="406">
        <v>39604</v>
      </c>
      <c r="C97" s="4" t="s">
        <v>93</v>
      </c>
      <c r="D97" s="417">
        <f>'[3]Gross Plant'!$AF145</f>
        <v>62747.29</v>
      </c>
      <c r="E97" s="581">
        <v>0</v>
      </c>
      <c r="F97" s="581">
        <f t="shared" si="23"/>
        <v>62747.29</v>
      </c>
      <c r="G97" s="623">
        <f t="shared" si="24"/>
        <v>1</v>
      </c>
      <c r="H97" s="623">
        <f t="shared" si="24"/>
        <v>1</v>
      </c>
      <c r="I97" s="581">
        <f t="shared" si="25"/>
        <v>62747.29</v>
      </c>
      <c r="J97" s="106"/>
      <c r="K97" s="417">
        <f>'[3]Gross Plant'!$D145</f>
        <v>62747.290000000008</v>
      </c>
      <c r="L97" s="624">
        <f t="shared" si="27"/>
        <v>1</v>
      </c>
      <c r="M97" s="624">
        <f t="shared" si="27"/>
        <v>1</v>
      </c>
      <c r="N97" s="394">
        <f t="shared" si="26"/>
        <v>62747.290000000008</v>
      </c>
    </row>
    <row r="98" spans="1:17">
      <c r="A98" s="1064">
        <f t="shared" si="22"/>
        <v>84</v>
      </c>
      <c r="B98" s="406">
        <v>39605</v>
      </c>
      <c r="C98" s="1" t="s">
        <v>94</v>
      </c>
      <c r="D98" s="417">
        <f>'[3]Gross Plant'!$AF146</f>
        <v>33235.94</v>
      </c>
      <c r="E98" s="581">
        <v>0</v>
      </c>
      <c r="F98" s="581">
        <f t="shared" si="23"/>
        <v>33235.94</v>
      </c>
      <c r="G98" s="623">
        <f t="shared" si="24"/>
        <v>1</v>
      </c>
      <c r="H98" s="623">
        <f t="shared" si="24"/>
        <v>1</v>
      </c>
      <c r="I98" s="581">
        <f t="shared" si="25"/>
        <v>33235.94</v>
      </c>
      <c r="J98" s="106"/>
      <c r="K98" s="417">
        <f>'[3]Gross Plant'!$D146</f>
        <v>33235.94</v>
      </c>
      <c r="L98" s="624">
        <f t="shared" si="27"/>
        <v>1</v>
      </c>
      <c r="M98" s="624">
        <f t="shared" si="27"/>
        <v>1</v>
      </c>
      <c r="N98" s="394">
        <f t="shared" si="26"/>
        <v>33235.94</v>
      </c>
    </row>
    <row r="99" spans="1:17">
      <c r="A99" s="1064">
        <f t="shared" si="22"/>
        <v>85</v>
      </c>
      <c r="B99" s="406">
        <v>39700</v>
      </c>
      <c r="C99" s="4" t="s">
        <v>454</v>
      </c>
      <c r="D99" s="417">
        <f>'[3]Gross Plant'!$AF147</f>
        <v>416725.47072246304</v>
      </c>
      <c r="E99" s="581">
        <v>0</v>
      </c>
      <c r="F99" s="581">
        <f t="shared" si="23"/>
        <v>416725.47072246304</v>
      </c>
      <c r="G99" s="623">
        <f t="shared" si="24"/>
        <v>1</v>
      </c>
      <c r="H99" s="623">
        <f t="shared" si="24"/>
        <v>1</v>
      </c>
      <c r="I99" s="581">
        <f t="shared" si="25"/>
        <v>416725.47072246304</v>
      </c>
      <c r="J99" s="106"/>
      <c r="K99" s="417">
        <f>'[3]Gross Plant'!$D147</f>
        <v>402998.72329263674</v>
      </c>
      <c r="L99" s="624">
        <f t="shared" si="27"/>
        <v>1</v>
      </c>
      <c r="M99" s="624">
        <f t="shared" si="27"/>
        <v>1</v>
      </c>
      <c r="N99" s="394">
        <f t="shared" si="26"/>
        <v>402998.72329263674</v>
      </c>
    </row>
    <row r="100" spans="1:17">
      <c r="A100" s="1064">
        <f t="shared" si="22"/>
        <v>86</v>
      </c>
      <c r="B100" s="406">
        <v>39705</v>
      </c>
      <c r="C100" s="4" t="s">
        <v>738</v>
      </c>
      <c r="D100" s="417">
        <f>'[3]Gross Plant'!$AF148</f>
        <v>0</v>
      </c>
      <c r="E100" s="581">
        <v>0</v>
      </c>
      <c r="F100" s="581">
        <f t="shared" si="23"/>
        <v>0</v>
      </c>
      <c r="G100" s="623">
        <f t="shared" ref="G100:H105" si="28">$G$16</f>
        <v>1</v>
      </c>
      <c r="H100" s="623">
        <f t="shared" si="28"/>
        <v>1</v>
      </c>
      <c r="I100" s="581">
        <f t="shared" si="25"/>
        <v>0</v>
      </c>
      <c r="J100" s="106"/>
      <c r="K100" s="417">
        <f>'[3]Gross Plant'!$D148</f>
        <v>0</v>
      </c>
      <c r="L100" s="624">
        <f t="shared" ref="L100:M105" si="29">$G$16</f>
        <v>1</v>
      </c>
      <c r="M100" s="624">
        <f t="shared" si="29"/>
        <v>1</v>
      </c>
      <c r="N100" s="394">
        <f t="shared" si="26"/>
        <v>0</v>
      </c>
    </row>
    <row r="101" spans="1:17">
      <c r="A101" s="1064">
        <f t="shared" si="22"/>
        <v>87</v>
      </c>
      <c r="B101" s="406">
        <v>39800</v>
      </c>
      <c r="C101" s="4" t="s">
        <v>666</v>
      </c>
      <c r="D101" s="417">
        <f>'[3]Gross Plant'!$AF149</f>
        <v>4424212.6048364621</v>
      </c>
      <c r="E101" s="581">
        <v>0</v>
      </c>
      <c r="F101" s="581">
        <f t="shared" si="23"/>
        <v>4424212.6048364621</v>
      </c>
      <c r="G101" s="623">
        <f t="shared" si="28"/>
        <v>1</v>
      </c>
      <c r="H101" s="623">
        <f t="shared" si="28"/>
        <v>1</v>
      </c>
      <c r="I101" s="581">
        <f t="shared" si="25"/>
        <v>4424212.6048364621</v>
      </c>
      <c r="J101" s="106"/>
      <c r="K101" s="417">
        <f>'[3]Gross Plant'!$D149</f>
        <v>4288652.440645271</v>
      </c>
      <c r="L101" s="624">
        <f t="shared" si="29"/>
        <v>1</v>
      </c>
      <c r="M101" s="624">
        <f t="shared" si="29"/>
        <v>1</v>
      </c>
      <c r="N101" s="394">
        <f t="shared" si="26"/>
        <v>4288652.440645271</v>
      </c>
    </row>
    <row r="102" spans="1:17">
      <c r="A102" s="1064">
        <f t="shared" si="22"/>
        <v>88</v>
      </c>
      <c r="B102" s="406">
        <v>39903</v>
      </c>
      <c r="C102" s="4" t="s">
        <v>1022</v>
      </c>
      <c r="D102" s="417">
        <f>'[3]Gross Plant'!$AF150</f>
        <v>94730.135711549039</v>
      </c>
      <c r="E102" s="581">
        <v>0</v>
      </c>
      <c r="F102" s="581">
        <f t="shared" si="23"/>
        <v>94730.135711549039</v>
      </c>
      <c r="G102" s="623">
        <f t="shared" si="28"/>
        <v>1</v>
      </c>
      <c r="H102" s="623">
        <f t="shared" si="28"/>
        <v>1</v>
      </c>
      <c r="I102" s="581">
        <f t="shared" si="25"/>
        <v>94730.135711549039</v>
      </c>
      <c r="J102" s="106"/>
      <c r="K102" s="417">
        <f>'[3]Gross Plant'!$D150</f>
        <v>94709.10763737149</v>
      </c>
      <c r="L102" s="624">
        <f t="shared" si="29"/>
        <v>1</v>
      </c>
      <c r="M102" s="624">
        <f t="shared" si="29"/>
        <v>1</v>
      </c>
      <c r="N102" s="394">
        <f t="shared" si="26"/>
        <v>94709.10763737149</v>
      </c>
    </row>
    <row r="103" spans="1:17">
      <c r="A103" s="1064">
        <f t="shared" si="22"/>
        <v>89</v>
      </c>
      <c r="B103" s="406">
        <v>39906</v>
      </c>
      <c r="C103" s="4" t="s">
        <v>465</v>
      </c>
      <c r="D103" s="417">
        <f>'[3]Gross Plant'!$AF151</f>
        <v>1781951.8845218152</v>
      </c>
      <c r="E103" s="581">
        <v>0</v>
      </c>
      <c r="F103" s="581">
        <f t="shared" si="23"/>
        <v>1781951.8845218152</v>
      </c>
      <c r="G103" s="623">
        <f t="shared" si="28"/>
        <v>1</v>
      </c>
      <c r="H103" s="623">
        <f t="shared" si="28"/>
        <v>1</v>
      </c>
      <c r="I103" s="581">
        <f t="shared" si="25"/>
        <v>1781951.8845218152</v>
      </c>
      <c r="J103" s="106"/>
      <c r="K103" s="417">
        <f>'[3]Gross Plant'!$D151</f>
        <v>1646712.9937863885</v>
      </c>
      <c r="L103" s="624">
        <f t="shared" si="29"/>
        <v>1</v>
      </c>
      <c r="M103" s="624">
        <f t="shared" si="29"/>
        <v>1</v>
      </c>
      <c r="N103" s="394">
        <f t="shared" si="26"/>
        <v>1646712.9937863885</v>
      </c>
    </row>
    <row r="104" spans="1:17">
      <c r="A104" s="1064">
        <f t="shared" si="22"/>
        <v>90</v>
      </c>
      <c r="B104" s="406">
        <v>39907</v>
      </c>
      <c r="C104" s="4" t="s">
        <v>520</v>
      </c>
      <c r="D104" s="417">
        <f>'[3]Gross Plant'!$AF152</f>
        <v>13751.77</v>
      </c>
      <c r="E104" s="581">
        <v>0</v>
      </c>
      <c r="F104" s="581">
        <f t="shared" si="23"/>
        <v>13751.77</v>
      </c>
      <c r="G104" s="623">
        <f t="shared" si="28"/>
        <v>1</v>
      </c>
      <c r="H104" s="623">
        <f t="shared" si="28"/>
        <v>1</v>
      </c>
      <c r="I104" s="581">
        <f t="shared" si="25"/>
        <v>13751.77</v>
      </c>
      <c r="J104" s="106"/>
      <c r="K104" s="417">
        <f>'[3]Gross Plant'!$D152</f>
        <v>13751.769999999999</v>
      </c>
      <c r="L104" s="624">
        <f t="shared" si="29"/>
        <v>1</v>
      </c>
      <c r="M104" s="624">
        <f t="shared" si="29"/>
        <v>1</v>
      </c>
      <c r="N104" s="394">
        <f t="shared" si="26"/>
        <v>13751.769999999999</v>
      </c>
    </row>
    <row r="105" spans="1:17">
      <c r="A105" s="1064">
        <f t="shared" si="22"/>
        <v>91</v>
      </c>
      <c r="B105" s="406">
        <v>39908</v>
      </c>
      <c r="C105" s="4" t="s">
        <v>184</v>
      </c>
      <c r="D105" s="417">
        <f>'[3]Gross Plant'!$AF153</f>
        <v>123514.83</v>
      </c>
      <c r="E105" s="581">
        <v>0</v>
      </c>
      <c r="F105" s="581">
        <f t="shared" si="23"/>
        <v>123514.83</v>
      </c>
      <c r="G105" s="623">
        <f t="shared" si="28"/>
        <v>1</v>
      </c>
      <c r="H105" s="623">
        <f t="shared" si="28"/>
        <v>1</v>
      </c>
      <c r="I105" s="581">
        <f t="shared" si="25"/>
        <v>123514.83</v>
      </c>
      <c r="J105" s="106"/>
      <c r="K105" s="417">
        <f>'[3]Gross Plant'!$D153</f>
        <v>123514.83000000002</v>
      </c>
      <c r="L105" s="624">
        <f t="shared" si="29"/>
        <v>1</v>
      </c>
      <c r="M105" s="624">
        <f t="shared" si="29"/>
        <v>1</v>
      </c>
      <c r="N105" s="394">
        <f t="shared" si="26"/>
        <v>123514.83000000002</v>
      </c>
    </row>
    <row r="106" spans="1:17">
      <c r="A106" s="1064">
        <f t="shared" si="22"/>
        <v>92</v>
      </c>
      <c r="B106" s="424"/>
      <c r="C106" s="4"/>
      <c r="D106" s="812"/>
      <c r="E106" s="812"/>
      <c r="F106" s="812"/>
      <c r="G106" s="1131"/>
      <c r="H106" s="1131"/>
      <c r="I106" s="812"/>
      <c r="J106" s="106"/>
      <c r="K106" s="812"/>
      <c r="N106" s="789"/>
    </row>
    <row r="107" spans="1:17">
      <c r="A107" s="1064">
        <f t="shared" si="22"/>
        <v>93</v>
      </c>
      <c r="B107" s="424"/>
      <c r="C107" s="4" t="s">
        <v>4</v>
      </c>
      <c r="D107" s="462">
        <f>SUM(D86:D106)</f>
        <v>20772843.157503325</v>
      </c>
      <c r="E107" s="448">
        <f>SUM(E86:E106)</f>
        <v>0</v>
      </c>
      <c r="F107" s="462">
        <f>SUM(F86:F106)</f>
        <v>20772843.157503325</v>
      </c>
      <c r="G107" s="623"/>
      <c r="H107" s="623"/>
      <c r="I107" s="462">
        <f>SUM(I86:I106)</f>
        <v>20772843.157503325</v>
      </c>
      <c r="J107" s="106"/>
      <c r="K107" s="462">
        <f>SUM(K86:K106)</f>
        <v>20106233.59870762</v>
      </c>
      <c r="N107" s="407">
        <f>SUM(N86:N106)</f>
        <v>20106233.59870762</v>
      </c>
    </row>
    <row r="108" spans="1:17">
      <c r="A108" s="1064">
        <f t="shared" si="22"/>
        <v>94</v>
      </c>
      <c r="B108" s="424"/>
      <c r="C108" s="4"/>
      <c r="D108" s="106"/>
      <c r="E108" s="106"/>
      <c r="F108" s="106"/>
      <c r="G108" s="1131"/>
      <c r="H108" s="1131"/>
      <c r="I108" s="106"/>
      <c r="J108" s="106"/>
      <c r="K108" s="106"/>
    </row>
    <row r="109" spans="1:17" ht="15.75" thickBot="1">
      <c r="A109" s="1064">
        <f t="shared" si="22"/>
        <v>95</v>
      </c>
      <c r="B109" s="424"/>
      <c r="C109" s="247" t="s">
        <v>1364</v>
      </c>
      <c r="D109" s="1139">
        <f>D19+D26+D47+D59+D83+D107</f>
        <v>547099337.33915305</v>
      </c>
      <c r="E109" s="428">
        <f>E19+E26+E47+E59+E83+E107</f>
        <v>0</v>
      </c>
      <c r="F109" s="1139">
        <f>F19+F26+F47+F59+F83+F107</f>
        <v>547099337.33915305</v>
      </c>
      <c r="G109" s="1131"/>
      <c r="H109" s="1131"/>
      <c r="I109" s="1139">
        <f>I19+I26+I47+I59+I83+I107</f>
        <v>547099337.33915305</v>
      </c>
      <c r="J109" s="106"/>
      <c r="K109" s="1139">
        <f>K19+K26+K47+K59+K83+K107</f>
        <v>530417571.81245786</v>
      </c>
      <c r="N109" s="415">
        <f>N19+N26+N47+N59+N83+N107</f>
        <v>530417571.81245786</v>
      </c>
      <c r="P109" s="1058"/>
      <c r="Q109" s="1058"/>
    </row>
    <row r="110" spans="1:17" ht="15.75" thickTop="1">
      <c r="A110" s="1064">
        <f t="shared" si="22"/>
        <v>96</v>
      </c>
      <c r="B110" s="424"/>
      <c r="C110" s="4"/>
      <c r="D110" s="106"/>
      <c r="E110" s="106"/>
      <c r="F110" s="106"/>
      <c r="G110" s="1131"/>
      <c r="H110" s="1131"/>
      <c r="I110" s="106"/>
      <c r="J110" s="106"/>
      <c r="K110" s="106"/>
    </row>
    <row r="111" spans="1:17">
      <c r="A111" s="1064">
        <f t="shared" si="22"/>
        <v>97</v>
      </c>
      <c r="B111" s="424"/>
      <c r="C111" s="107" t="s">
        <v>766</v>
      </c>
      <c r="D111" s="417">
        <f>'[3]Gross Plant'!$AF183</f>
        <v>14123020.170000006</v>
      </c>
      <c r="E111" s="427">
        <v>0</v>
      </c>
      <c r="F111" s="427">
        <f>D111+E111</f>
        <v>14123020.170000006</v>
      </c>
      <c r="G111" s="570">
        <f>$G$16</f>
        <v>1</v>
      </c>
      <c r="H111" s="570">
        <f>$G$16</f>
        <v>1</v>
      </c>
      <c r="I111" s="427">
        <f>F111*G111*H111</f>
        <v>14123020.170000006</v>
      </c>
      <c r="J111" s="106"/>
      <c r="K111" s="417">
        <f>'[3]Gross Plant'!$D183</f>
        <v>14123020.170000007</v>
      </c>
      <c r="L111" s="624">
        <f>$G$16</f>
        <v>1</v>
      </c>
      <c r="M111" s="624">
        <f>$G$16</f>
        <v>1</v>
      </c>
      <c r="N111" s="423">
        <f>K111*L111*M111</f>
        <v>14123020.170000007</v>
      </c>
    </row>
    <row r="112" spans="1:17">
      <c r="A112" s="1064">
        <f t="shared" si="22"/>
        <v>98</v>
      </c>
      <c r="B112" s="424"/>
      <c r="C112" s="106"/>
      <c r="D112" s="106"/>
      <c r="E112" s="106"/>
      <c r="F112" s="106"/>
      <c r="G112" s="1131"/>
      <c r="H112" s="1131"/>
      <c r="I112" s="106"/>
      <c r="J112" s="106"/>
      <c r="K112" s="462"/>
    </row>
    <row r="113" spans="1:19" ht="15.75">
      <c r="A113" s="1064">
        <f t="shared" si="22"/>
        <v>99</v>
      </c>
      <c r="B113" s="419" t="s">
        <v>7</v>
      </c>
      <c r="D113" s="106"/>
      <c r="E113" s="106"/>
      <c r="F113" s="106"/>
      <c r="G113" s="1131"/>
      <c r="H113" s="1131"/>
      <c r="I113" s="106"/>
      <c r="J113" s="106"/>
      <c r="K113" s="462"/>
    </row>
    <row r="114" spans="1:19">
      <c r="A114" s="1064">
        <f t="shared" si="22"/>
        <v>100</v>
      </c>
      <c r="B114" s="424"/>
      <c r="D114" s="106"/>
      <c r="E114" s="106"/>
      <c r="F114" s="106"/>
      <c r="G114" s="1131"/>
      <c r="H114" s="1131"/>
      <c r="I114" s="106"/>
      <c r="J114" s="106"/>
      <c r="K114" s="462"/>
    </row>
    <row r="115" spans="1:19">
      <c r="A115" s="1064">
        <f t="shared" si="22"/>
        <v>101</v>
      </c>
      <c r="B115" s="424"/>
      <c r="C115" s="17" t="s">
        <v>305</v>
      </c>
      <c r="D115" s="106"/>
      <c r="E115" s="106"/>
      <c r="F115" s="106"/>
      <c r="G115" s="1131"/>
      <c r="H115" s="1131"/>
      <c r="I115" s="106"/>
      <c r="J115" s="106"/>
      <c r="K115" s="462"/>
    </row>
    <row r="116" spans="1:19">
      <c r="A116" s="1064">
        <f t="shared" si="22"/>
        <v>102</v>
      </c>
      <c r="B116" s="426">
        <v>30100</v>
      </c>
      <c r="C116" s="4" t="s">
        <v>299</v>
      </c>
      <c r="D116" s="417">
        <f>'[3]Gross Plant'!$AF61</f>
        <v>185309.27</v>
      </c>
      <c r="E116" s="448">
        <v>0</v>
      </c>
      <c r="F116" s="448">
        <f>D116+E116</f>
        <v>185309.27</v>
      </c>
      <c r="G116" s="623">
        <f>$G$16</f>
        <v>1</v>
      </c>
      <c r="H116" s="625">
        <f>Allocation!$D$17</f>
        <v>0.49090457251500325</v>
      </c>
      <c r="I116" s="448">
        <f>F116*G116*H116</f>
        <v>90969.167972417315</v>
      </c>
      <c r="J116" s="106"/>
      <c r="K116" s="417">
        <f>'[3]Gross Plant'!$D61</f>
        <v>185309.27</v>
      </c>
      <c r="L116" s="624">
        <f t="shared" ref="L116:M117" si="30">G116</f>
        <v>1</v>
      </c>
      <c r="M116" s="558">
        <f t="shared" si="30"/>
        <v>0.49090457251500325</v>
      </c>
      <c r="N116" s="385">
        <f>K116*L116*M116</f>
        <v>90969.167972417315</v>
      </c>
      <c r="S116" s="78"/>
    </row>
    <row r="117" spans="1:19">
      <c r="A117" s="1064">
        <f t="shared" si="22"/>
        <v>103</v>
      </c>
      <c r="B117" s="426">
        <v>30300</v>
      </c>
      <c r="C117" s="4" t="s">
        <v>558</v>
      </c>
      <c r="D117" s="417">
        <f>'[3]Gross Plant'!$AF62</f>
        <v>1109551.68</v>
      </c>
      <c r="E117" s="1144">
        <v>0</v>
      </c>
      <c r="F117" s="1144">
        <f>D117+E117</f>
        <v>1109551.68</v>
      </c>
      <c r="G117" s="623">
        <f>$G$16</f>
        <v>1</v>
      </c>
      <c r="H117" s="625">
        <f>$H$116</f>
        <v>0.49090457251500325</v>
      </c>
      <c r="I117" s="1144">
        <f>F117*G117*H117</f>
        <v>544683.99315370363</v>
      </c>
      <c r="J117" s="106"/>
      <c r="K117" s="417">
        <f>'[3]Gross Plant'!$D62</f>
        <v>1109551.68</v>
      </c>
      <c r="L117" s="624">
        <f t="shared" si="30"/>
        <v>1</v>
      </c>
      <c r="M117" s="558">
        <f t="shared" si="30"/>
        <v>0.49090457251500325</v>
      </c>
      <c r="N117" s="395">
        <f>K117*L117*M117</f>
        <v>544683.99315370363</v>
      </c>
      <c r="S117" s="78"/>
    </row>
    <row r="118" spans="1:19">
      <c r="A118" s="1064">
        <f t="shared" si="22"/>
        <v>104</v>
      </c>
      <c r="B118" s="424"/>
      <c r="C118" s="4"/>
      <c r="D118" s="812"/>
      <c r="E118" s="106"/>
      <c r="F118" s="106"/>
      <c r="G118" s="1131"/>
      <c r="H118" s="1131"/>
      <c r="I118" s="106"/>
      <c r="J118" s="106"/>
      <c r="K118" s="812"/>
    </row>
    <row r="119" spans="1:19">
      <c r="A119" s="1064">
        <f t="shared" si="22"/>
        <v>105</v>
      </c>
      <c r="B119" s="424"/>
      <c r="C119" s="4" t="s">
        <v>306</v>
      </c>
      <c r="D119" s="462">
        <f>SUM(D116:D118)</f>
        <v>1294860.95</v>
      </c>
      <c r="E119" s="448">
        <f>SUM(E116:E118)</f>
        <v>0</v>
      </c>
      <c r="F119" s="448">
        <f>SUM(F116:F118)</f>
        <v>1294860.95</v>
      </c>
      <c r="G119" s="623"/>
      <c r="H119" s="623"/>
      <c r="I119" s="448">
        <f>SUM(I116:I118)</f>
        <v>635653.16112612095</v>
      </c>
      <c r="J119" s="106"/>
      <c r="K119" s="462">
        <f>SUM(K116:K118)</f>
        <v>1294860.95</v>
      </c>
      <c r="N119" s="385">
        <f>SUM(N116:N118)</f>
        <v>635653.16112612095</v>
      </c>
    </row>
    <row r="120" spans="1:19">
      <c r="A120" s="1064">
        <f t="shared" si="22"/>
        <v>106</v>
      </c>
      <c r="B120" s="424"/>
      <c r="D120" s="106"/>
      <c r="E120" s="106"/>
      <c r="F120" s="106"/>
      <c r="G120" s="1131"/>
      <c r="H120" s="1131"/>
      <c r="I120" s="106"/>
      <c r="J120" s="106"/>
      <c r="K120" s="106"/>
    </row>
    <row r="121" spans="1:19">
      <c r="A121" s="1064">
        <f t="shared" si="22"/>
        <v>107</v>
      </c>
      <c r="B121" s="424"/>
      <c r="C121" s="17" t="s">
        <v>307</v>
      </c>
      <c r="D121" s="106"/>
      <c r="E121" s="106"/>
      <c r="F121" s="106"/>
      <c r="G121" s="1131"/>
      <c r="H121" s="1131"/>
      <c r="I121" s="106"/>
      <c r="J121" s="106"/>
      <c r="K121" s="106"/>
    </row>
    <row r="122" spans="1:19">
      <c r="A122" s="1064">
        <f t="shared" si="22"/>
        <v>108</v>
      </c>
      <c r="B122" s="426">
        <v>37400</v>
      </c>
      <c r="C122" s="4" t="s">
        <v>1168</v>
      </c>
      <c r="D122" s="462">
        <v>0</v>
      </c>
      <c r="E122" s="448">
        <v>0</v>
      </c>
      <c r="F122" s="448">
        <f t="shared" ref="F122:F142" si="31">D122+E122</f>
        <v>0</v>
      </c>
      <c r="G122" s="623">
        <f t="shared" ref="G122:G142" si="32">$G$16</f>
        <v>1</v>
      </c>
      <c r="H122" s="625">
        <f t="shared" ref="H122:H142" si="33">$H$116</f>
        <v>0.49090457251500325</v>
      </c>
      <c r="I122" s="448">
        <f t="shared" ref="I122:I142" si="34">F122*G122*H122</f>
        <v>0</v>
      </c>
      <c r="J122" s="106"/>
      <c r="K122" s="462">
        <v>0</v>
      </c>
      <c r="L122" s="624">
        <f t="shared" ref="L122:L142" si="35">G122</f>
        <v>1</v>
      </c>
      <c r="M122" s="625">
        <f t="shared" ref="M122:M142" si="36">H122</f>
        <v>0.49090457251500325</v>
      </c>
      <c r="N122" s="385">
        <f t="shared" ref="N122:N142" si="37">K122*L122*M122</f>
        <v>0</v>
      </c>
      <c r="P122" s="771"/>
    </row>
    <row r="123" spans="1:19">
      <c r="A123" s="1064">
        <f t="shared" si="22"/>
        <v>109</v>
      </c>
      <c r="B123" s="426">
        <v>35010</v>
      </c>
      <c r="C123" s="4" t="s">
        <v>300</v>
      </c>
      <c r="D123" s="809">
        <v>0</v>
      </c>
      <c r="E123" s="581">
        <v>0</v>
      </c>
      <c r="F123" s="581">
        <f t="shared" si="31"/>
        <v>0</v>
      </c>
      <c r="G123" s="623">
        <f t="shared" si="32"/>
        <v>1</v>
      </c>
      <c r="H123" s="625">
        <f t="shared" si="33"/>
        <v>0.49090457251500325</v>
      </c>
      <c r="I123" s="581">
        <f t="shared" si="34"/>
        <v>0</v>
      </c>
      <c r="J123" s="106"/>
      <c r="K123" s="809">
        <v>0</v>
      </c>
      <c r="L123" s="624">
        <f t="shared" si="35"/>
        <v>1</v>
      </c>
      <c r="M123" s="625">
        <f t="shared" si="36"/>
        <v>0.49090457251500325</v>
      </c>
      <c r="N123" s="394">
        <f t="shared" si="37"/>
        <v>0</v>
      </c>
      <c r="P123" s="771"/>
    </row>
    <row r="124" spans="1:19">
      <c r="A124" s="1064">
        <f t="shared" si="22"/>
        <v>110</v>
      </c>
      <c r="B124" s="426">
        <v>37402</v>
      </c>
      <c r="C124" s="4" t="s">
        <v>1018</v>
      </c>
      <c r="D124" s="809">
        <v>0</v>
      </c>
      <c r="E124" s="581">
        <v>0</v>
      </c>
      <c r="F124" s="581">
        <f t="shared" si="31"/>
        <v>0</v>
      </c>
      <c r="G124" s="623">
        <f t="shared" si="32"/>
        <v>1</v>
      </c>
      <c r="H124" s="625">
        <f t="shared" si="33"/>
        <v>0.49090457251500325</v>
      </c>
      <c r="I124" s="581">
        <f t="shared" si="34"/>
        <v>0</v>
      </c>
      <c r="J124" s="106"/>
      <c r="K124" s="809">
        <v>0</v>
      </c>
      <c r="L124" s="624">
        <f t="shared" si="35"/>
        <v>1</v>
      </c>
      <c r="M124" s="625">
        <f t="shared" si="36"/>
        <v>0.49090457251500325</v>
      </c>
      <c r="N124" s="394">
        <f t="shared" si="37"/>
        <v>0</v>
      </c>
      <c r="P124" s="771"/>
    </row>
    <row r="125" spans="1:19">
      <c r="A125" s="1064">
        <f t="shared" si="22"/>
        <v>111</v>
      </c>
      <c r="B125" s="426">
        <v>37403</v>
      </c>
      <c r="C125" s="4" t="s">
        <v>1015</v>
      </c>
      <c r="D125" s="809">
        <v>0</v>
      </c>
      <c r="E125" s="581">
        <v>0</v>
      </c>
      <c r="F125" s="581">
        <f t="shared" si="31"/>
        <v>0</v>
      </c>
      <c r="G125" s="623">
        <f t="shared" si="32"/>
        <v>1</v>
      </c>
      <c r="H125" s="625">
        <f t="shared" si="33"/>
        <v>0.49090457251500325</v>
      </c>
      <c r="I125" s="581">
        <f t="shared" si="34"/>
        <v>0</v>
      </c>
      <c r="J125" s="106"/>
      <c r="K125" s="809">
        <v>0</v>
      </c>
      <c r="L125" s="624">
        <f t="shared" si="35"/>
        <v>1</v>
      </c>
      <c r="M125" s="625">
        <f t="shared" si="36"/>
        <v>0.49090457251500325</v>
      </c>
      <c r="N125" s="394">
        <f t="shared" si="37"/>
        <v>0</v>
      </c>
    </row>
    <row r="126" spans="1:19">
      <c r="A126" s="1064">
        <f t="shared" si="22"/>
        <v>112</v>
      </c>
      <c r="B126" s="426">
        <v>36602</v>
      </c>
      <c r="C126" s="4" t="s">
        <v>874</v>
      </c>
      <c r="D126" s="809">
        <v>0</v>
      </c>
      <c r="E126" s="581">
        <v>0</v>
      </c>
      <c r="F126" s="581">
        <f t="shared" si="31"/>
        <v>0</v>
      </c>
      <c r="G126" s="623">
        <f t="shared" si="32"/>
        <v>1</v>
      </c>
      <c r="H126" s="625">
        <f t="shared" si="33"/>
        <v>0.49090457251500325</v>
      </c>
      <c r="I126" s="581">
        <f t="shared" si="34"/>
        <v>0</v>
      </c>
      <c r="J126" s="106"/>
      <c r="K126" s="809">
        <v>0</v>
      </c>
      <c r="L126" s="624">
        <f t="shared" si="35"/>
        <v>1</v>
      </c>
      <c r="M126" s="625">
        <f t="shared" si="36"/>
        <v>0.49090457251500325</v>
      </c>
      <c r="N126" s="394">
        <f t="shared" si="37"/>
        <v>0</v>
      </c>
      <c r="P126" s="771"/>
    </row>
    <row r="127" spans="1:19">
      <c r="A127" s="1064">
        <f t="shared" si="22"/>
        <v>113</v>
      </c>
      <c r="B127" s="426">
        <v>37402</v>
      </c>
      <c r="C127" s="4" t="s">
        <v>1018</v>
      </c>
      <c r="D127" s="809">
        <v>0</v>
      </c>
      <c r="E127" s="581">
        <v>0</v>
      </c>
      <c r="F127" s="581">
        <f>D127+E127</f>
        <v>0</v>
      </c>
      <c r="G127" s="623">
        <f t="shared" si="32"/>
        <v>1</v>
      </c>
      <c r="H127" s="625">
        <f t="shared" si="33"/>
        <v>0.49090457251500325</v>
      </c>
      <c r="I127" s="581">
        <f>F127*G127*H127</f>
        <v>0</v>
      </c>
      <c r="J127" s="106"/>
      <c r="K127" s="809">
        <v>0</v>
      </c>
      <c r="L127" s="624">
        <f>G127</f>
        <v>1</v>
      </c>
      <c r="M127" s="625">
        <f>H127</f>
        <v>0.49090457251500325</v>
      </c>
      <c r="N127" s="394">
        <f>K127*L127*M127</f>
        <v>0</v>
      </c>
    </row>
    <row r="128" spans="1:19">
      <c r="A128" s="1064">
        <f t="shared" si="22"/>
        <v>114</v>
      </c>
      <c r="B128" s="426">
        <v>37501</v>
      </c>
      <c r="C128" s="4" t="s">
        <v>1016</v>
      </c>
      <c r="D128" s="809">
        <v>0</v>
      </c>
      <c r="E128" s="581">
        <v>0</v>
      </c>
      <c r="F128" s="581">
        <f t="shared" si="31"/>
        <v>0</v>
      </c>
      <c r="G128" s="623">
        <f t="shared" si="32"/>
        <v>1</v>
      </c>
      <c r="H128" s="625">
        <f t="shared" si="33"/>
        <v>0.49090457251500325</v>
      </c>
      <c r="I128" s="581">
        <f t="shared" si="34"/>
        <v>0</v>
      </c>
      <c r="J128" s="106"/>
      <c r="K128" s="809">
        <v>0</v>
      </c>
      <c r="L128" s="624">
        <f t="shared" si="35"/>
        <v>1</v>
      </c>
      <c r="M128" s="625">
        <f t="shared" si="36"/>
        <v>0.49090457251500325</v>
      </c>
      <c r="N128" s="394">
        <f t="shared" si="37"/>
        <v>0</v>
      </c>
    </row>
    <row r="129" spans="1:14">
      <c r="A129" s="1064">
        <f t="shared" si="22"/>
        <v>115</v>
      </c>
      <c r="B129" s="426">
        <v>37503</v>
      </c>
      <c r="C129" s="4" t="s">
        <v>1017</v>
      </c>
      <c r="D129" s="809">
        <v>0</v>
      </c>
      <c r="E129" s="581">
        <v>0</v>
      </c>
      <c r="F129" s="581">
        <f t="shared" si="31"/>
        <v>0</v>
      </c>
      <c r="G129" s="623">
        <f t="shared" si="32"/>
        <v>1</v>
      </c>
      <c r="H129" s="625">
        <f t="shared" si="33"/>
        <v>0.49090457251500325</v>
      </c>
      <c r="I129" s="581">
        <f t="shared" si="34"/>
        <v>0</v>
      </c>
      <c r="J129" s="106"/>
      <c r="K129" s="809">
        <v>0</v>
      </c>
      <c r="L129" s="624">
        <f t="shared" si="35"/>
        <v>1</v>
      </c>
      <c r="M129" s="625">
        <f t="shared" si="36"/>
        <v>0.49090457251500325</v>
      </c>
      <c r="N129" s="394">
        <f t="shared" si="37"/>
        <v>0</v>
      </c>
    </row>
    <row r="130" spans="1:14">
      <c r="A130" s="1064">
        <f t="shared" si="22"/>
        <v>116</v>
      </c>
      <c r="B130" s="426">
        <v>36700</v>
      </c>
      <c r="C130" s="4" t="s">
        <v>861</v>
      </c>
      <c r="D130" s="809">
        <v>0</v>
      </c>
      <c r="E130" s="581">
        <v>0</v>
      </c>
      <c r="F130" s="581">
        <f t="shared" si="31"/>
        <v>0</v>
      </c>
      <c r="G130" s="623">
        <f t="shared" si="32"/>
        <v>1</v>
      </c>
      <c r="H130" s="625">
        <f t="shared" si="33"/>
        <v>0.49090457251500325</v>
      </c>
      <c r="I130" s="581">
        <f t="shared" si="34"/>
        <v>0</v>
      </c>
      <c r="J130" s="106"/>
      <c r="K130" s="809">
        <v>0</v>
      </c>
      <c r="L130" s="624">
        <f t="shared" si="35"/>
        <v>1</v>
      </c>
      <c r="M130" s="625">
        <f t="shared" si="36"/>
        <v>0.49090457251500325</v>
      </c>
      <c r="N130" s="394">
        <f t="shared" si="37"/>
        <v>0</v>
      </c>
    </row>
    <row r="131" spans="1:14">
      <c r="A131" s="1064">
        <f t="shared" si="22"/>
        <v>117</v>
      </c>
      <c r="B131" s="426">
        <v>36701</v>
      </c>
      <c r="C131" s="4" t="s">
        <v>16</v>
      </c>
      <c r="D131" s="809">
        <v>0</v>
      </c>
      <c r="E131" s="581">
        <v>0</v>
      </c>
      <c r="F131" s="581">
        <f t="shared" si="31"/>
        <v>0</v>
      </c>
      <c r="G131" s="623">
        <f t="shared" si="32"/>
        <v>1</v>
      </c>
      <c r="H131" s="625">
        <f t="shared" si="33"/>
        <v>0.49090457251500325</v>
      </c>
      <c r="I131" s="581">
        <f t="shared" si="34"/>
        <v>0</v>
      </c>
      <c r="J131" s="106"/>
      <c r="K131" s="809">
        <v>0</v>
      </c>
      <c r="L131" s="624">
        <f t="shared" si="35"/>
        <v>1</v>
      </c>
      <c r="M131" s="625">
        <f t="shared" si="36"/>
        <v>0.49090457251500325</v>
      </c>
      <c r="N131" s="394">
        <f t="shared" si="37"/>
        <v>0</v>
      </c>
    </row>
    <row r="132" spans="1:14">
      <c r="A132" s="1064">
        <f t="shared" si="22"/>
        <v>118</v>
      </c>
      <c r="B132" s="426">
        <v>37602</v>
      </c>
      <c r="C132" s="4" t="s">
        <v>862</v>
      </c>
      <c r="D132" s="809">
        <v>0</v>
      </c>
      <c r="E132" s="581">
        <v>0</v>
      </c>
      <c r="F132" s="581">
        <f t="shared" si="31"/>
        <v>0</v>
      </c>
      <c r="G132" s="623">
        <f t="shared" si="32"/>
        <v>1</v>
      </c>
      <c r="H132" s="625">
        <f t="shared" si="33"/>
        <v>0.49090457251500325</v>
      </c>
      <c r="I132" s="581">
        <f t="shared" si="34"/>
        <v>0</v>
      </c>
      <c r="J132" s="106"/>
      <c r="K132" s="809">
        <v>0</v>
      </c>
      <c r="L132" s="624">
        <f t="shared" si="35"/>
        <v>1</v>
      </c>
      <c r="M132" s="625">
        <f t="shared" si="36"/>
        <v>0.49090457251500325</v>
      </c>
      <c r="N132" s="394">
        <f t="shared" si="37"/>
        <v>0</v>
      </c>
    </row>
    <row r="133" spans="1:14">
      <c r="A133" s="1064">
        <f t="shared" si="22"/>
        <v>119</v>
      </c>
      <c r="B133" s="426">
        <v>37800</v>
      </c>
      <c r="C133" s="4" t="s">
        <v>234</v>
      </c>
      <c r="D133" s="809">
        <v>0</v>
      </c>
      <c r="E133" s="581">
        <v>0</v>
      </c>
      <c r="F133" s="581">
        <f t="shared" si="31"/>
        <v>0</v>
      </c>
      <c r="G133" s="623">
        <f t="shared" si="32"/>
        <v>1</v>
      </c>
      <c r="H133" s="625">
        <f t="shared" si="33"/>
        <v>0.49090457251500325</v>
      </c>
      <c r="I133" s="581">
        <f t="shared" si="34"/>
        <v>0</v>
      </c>
      <c r="J133" s="106"/>
      <c r="K133" s="809">
        <v>0</v>
      </c>
      <c r="L133" s="624">
        <f t="shared" si="35"/>
        <v>1</v>
      </c>
      <c r="M133" s="625">
        <f t="shared" si="36"/>
        <v>0.49090457251500325</v>
      </c>
      <c r="N133" s="394">
        <f t="shared" si="37"/>
        <v>0</v>
      </c>
    </row>
    <row r="134" spans="1:14">
      <c r="A134" s="1064">
        <f t="shared" si="22"/>
        <v>120</v>
      </c>
      <c r="B134" s="426">
        <v>37900</v>
      </c>
      <c r="C134" s="4" t="s">
        <v>1211</v>
      </c>
      <c r="D134" s="809">
        <v>0</v>
      </c>
      <c r="E134" s="581">
        <v>0</v>
      </c>
      <c r="F134" s="581">
        <f t="shared" si="31"/>
        <v>0</v>
      </c>
      <c r="G134" s="623">
        <f t="shared" si="32"/>
        <v>1</v>
      </c>
      <c r="H134" s="625">
        <f t="shared" si="33"/>
        <v>0.49090457251500325</v>
      </c>
      <c r="I134" s="581">
        <f t="shared" si="34"/>
        <v>0</v>
      </c>
      <c r="J134" s="106"/>
      <c r="K134" s="809">
        <v>0</v>
      </c>
      <c r="L134" s="624">
        <f t="shared" si="35"/>
        <v>1</v>
      </c>
      <c r="M134" s="625">
        <f t="shared" si="36"/>
        <v>0.49090457251500325</v>
      </c>
      <c r="N134" s="394">
        <f t="shared" si="37"/>
        <v>0</v>
      </c>
    </row>
    <row r="135" spans="1:14">
      <c r="A135" s="1064">
        <f t="shared" si="22"/>
        <v>121</v>
      </c>
      <c r="B135" s="426">
        <v>37905</v>
      </c>
      <c r="C135" s="4" t="s">
        <v>742</v>
      </c>
      <c r="D135" s="809">
        <v>0</v>
      </c>
      <c r="E135" s="581">
        <v>0</v>
      </c>
      <c r="F135" s="581">
        <f t="shared" si="31"/>
        <v>0</v>
      </c>
      <c r="G135" s="623">
        <f t="shared" si="32"/>
        <v>1</v>
      </c>
      <c r="H135" s="625">
        <f t="shared" si="33"/>
        <v>0.49090457251500325</v>
      </c>
      <c r="I135" s="581">
        <f t="shared" si="34"/>
        <v>0</v>
      </c>
      <c r="J135" s="106"/>
      <c r="K135" s="809">
        <v>0</v>
      </c>
      <c r="L135" s="624">
        <f t="shared" si="35"/>
        <v>1</v>
      </c>
      <c r="M135" s="625">
        <f t="shared" si="36"/>
        <v>0.49090457251500325</v>
      </c>
      <c r="N135" s="394">
        <f t="shared" si="37"/>
        <v>0</v>
      </c>
    </row>
    <row r="136" spans="1:14">
      <c r="A136" s="1064">
        <f t="shared" si="22"/>
        <v>122</v>
      </c>
      <c r="B136" s="426">
        <v>38000</v>
      </c>
      <c r="C136" s="4" t="s">
        <v>1072</v>
      </c>
      <c r="D136" s="809">
        <v>0</v>
      </c>
      <c r="E136" s="581">
        <v>0</v>
      </c>
      <c r="F136" s="581">
        <f t="shared" si="31"/>
        <v>0</v>
      </c>
      <c r="G136" s="623">
        <f t="shared" si="32"/>
        <v>1</v>
      </c>
      <c r="H136" s="625">
        <f t="shared" si="33"/>
        <v>0.49090457251500325</v>
      </c>
      <c r="I136" s="581">
        <f t="shared" si="34"/>
        <v>0</v>
      </c>
      <c r="J136" s="106"/>
      <c r="K136" s="809">
        <v>0</v>
      </c>
      <c r="L136" s="624">
        <f t="shared" si="35"/>
        <v>1</v>
      </c>
      <c r="M136" s="625">
        <f t="shared" si="36"/>
        <v>0.49090457251500325</v>
      </c>
      <c r="N136" s="394">
        <f t="shared" si="37"/>
        <v>0</v>
      </c>
    </row>
    <row r="137" spans="1:14">
      <c r="A137" s="1064">
        <f t="shared" si="22"/>
        <v>123</v>
      </c>
      <c r="B137" s="426">
        <v>38100</v>
      </c>
      <c r="C137" s="4" t="s">
        <v>863</v>
      </c>
      <c r="D137" s="809">
        <v>0</v>
      </c>
      <c r="E137" s="581">
        <v>0</v>
      </c>
      <c r="F137" s="581">
        <f t="shared" si="31"/>
        <v>0</v>
      </c>
      <c r="G137" s="623">
        <f t="shared" si="32"/>
        <v>1</v>
      </c>
      <c r="H137" s="625">
        <f t="shared" si="33"/>
        <v>0.49090457251500325</v>
      </c>
      <c r="I137" s="581">
        <f t="shared" si="34"/>
        <v>0</v>
      </c>
      <c r="J137" s="106"/>
      <c r="K137" s="809">
        <v>0</v>
      </c>
      <c r="L137" s="624">
        <f t="shared" si="35"/>
        <v>1</v>
      </c>
      <c r="M137" s="625">
        <f t="shared" si="36"/>
        <v>0.49090457251500325</v>
      </c>
      <c r="N137" s="394">
        <f t="shared" si="37"/>
        <v>0</v>
      </c>
    </row>
    <row r="138" spans="1:14">
      <c r="A138" s="1064">
        <f t="shared" si="22"/>
        <v>124</v>
      </c>
      <c r="B138" s="426">
        <v>38200</v>
      </c>
      <c r="C138" s="4" t="s">
        <v>456</v>
      </c>
      <c r="D138" s="809">
        <v>0</v>
      </c>
      <c r="E138" s="581">
        <v>0</v>
      </c>
      <c r="F138" s="581">
        <f t="shared" si="31"/>
        <v>0</v>
      </c>
      <c r="G138" s="623">
        <f t="shared" si="32"/>
        <v>1</v>
      </c>
      <c r="H138" s="625">
        <f t="shared" si="33"/>
        <v>0.49090457251500325</v>
      </c>
      <c r="I138" s="581">
        <f t="shared" si="34"/>
        <v>0</v>
      </c>
      <c r="J138" s="106"/>
      <c r="K138" s="809">
        <v>0</v>
      </c>
      <c r="L138" s="624">
        <f t="shared" si="35"/>
        <v>1</v>
      </c>
      <c r="M138" s="625">
        <f t="shared" si="36"/>
        <v>0.49090457251500325</v>
      </c>
      <c r="N138" s="394">
        <f t="shared" si="37"/>
        <v>0</v>
      </c>
    </row>
    <row r="139" spans="1:14">
      <c r="A139" s="1064">
        <f t="shared" si="22"/>
        <v>125</v>
      </c>
      <c r="B139" s="426">
        <v>38300</v>
      </c>
      <c r="C139" s="4" t="s">
        <v>1073</v>
      </c>
      <c r="D139" s="809">
        <v>0</v>
      </c>
      <c r="E139" s="581">
        <v>0</v>
      </c>
      <c r="F139" s="581">
        <f t="shared" si="31"/>
        <v>0</v>
      </c>
      <c r="G139" s="623">
        <f t="shared" si="32"/>
        <v>1</v>
      </c>
      <c r="H139" s="625">
        <f t="shared" si="33"/>
        <v>0.49090457251500325</v>
      </c>
      <c r="I139" s="581">
        <f t="shared" si="34"/>
        <v>0</v>
      </c>
      <c r="J139" s="106"/>
      <c r="K139" s="809">
        <v>0</v>
      </c>
      <c r="L139" s="624">
        <f t="shared" si="35"/>
        <v>1</v>
      </c>
      <c r="M139" s="625">
        <f t="shared" si="36"/>
        <v>0.49090457251500325</v>
      </c>
      <c r="N139" s="394">
        <f t="shared" si="37"/>
        <v>0</v>
      </c>
    </row>
    <row r="140" spans="1:14">
      <c r="A140" s="1064">
        <f t="shared" si="22"/>
        <v>126</v>
      </c>
      <c r="B140" s="426">
        <v>38400</v>
      </c>
      <c r="C140" s="4" t="s">
        <v>457</v>
      </c>
      <c r="D140" s="809">
        <v>0</v>
      </c>
      <c r="E140" s="581">
        <v>0</v>
      </c>
      <c r="F140" s="581">
        <f t="shared" si="31"/>
        <v>0</v>
      </c>
      <c r="G140" s="623">
        <f t="shared" si="32"/>
        <v>1</v>
      </c>
      <c r="H140" s="625">
        <f t="shared" si="33"/>
        <v>0.49090457251500325</v>
      </c>
      <c r="I140" s="581">
        <f t="shared" si="34"/>
        <v>0</v>
      </c>
      <c r="J140" s="106"/>
      <c r="K140" s="809">
        <v>0</v>
      </c>
      <c r="L140" s="624">
        <f t="shared" si="35"/>
        <v>1</v>
      </c>
      <c r="M140" s="625">
        <f t="shared" si="36"/>
        <v>0.49090457251500325</v>
      </c>
      <c r="N140" s="394">
        <f t="shared" si="37"/>
        <v>0</v>
      </c>
    </row>
    <row r="141" spans="1:14">
      <c r="A141" s="1064">
        <f t="shared" si="22"/>
        <v>127</v>
      </c>
      <c r="B141" s="426">
        <v>38500</v>
      </c>
      <c r="C141" s="4" t="s">
        <v>458</v>
      </c>
      <c r="D141" s="809">
        <v>0</v>
      </c>
      <c r="E141" s="581">
        <v>0</v>
      </c>
      <c r="F141" s="581">
        <f t="shared" si="31"/>
        <v>0</v>
      </c>
      <c r="G141" s="623">
        <f t="shared" si="32"/>
        <v>1</v>
      </c>
      <c r="H141" s="625">
        <f t="shared" si="33"/>
        <v>0.49090457251500325</v>
      </c>
      <c r="I141" s="581">
        <f t="shared" si="34"/>
        <v>0</v>
      </c>
      <c r="J141" s="106"/>
      <c r="K141" s="809">
        <v>0</v>
      </c>
      <c r="L141" s="624">
        <f t="shared" si="35"/>
        <v>1</v>
      </c>
      <c r="M141" s="625">
        <f t="shared" si="36"/>
        <v>0.49090457251500325</v>
      </c>
      <c r="N141" s="394">
        <f t="shared" si="37"/>
        <v>0</v>
      </c>
    </row>
    <row r="142" spans="1:14">
      <c r="A142" s="1064">
        <f t="shared" si="22"/>
        <v>128</v>
      </c>
      <c r="B142" s="426">
        <v>38600</v>
      </c>
      <c r="C142" s="4" t="s">
        <v>111</v>
      </c>
      <c r="D142" s="1138">
        <v>0</v>
      </c>
      <c r="E142" s="1144">
        <v>0</v>
      </c>
      <c r="F142" s="1144">
        <f t="shared" si="31"/>
        <v>0</v>
      </c>
      <c r="G142" s="623">
        <f t="shared" si="32"/>
        <v>1</v>
      </c>
      <c r="H142" s="625">
        <f t="shared" si="33"/>
        <v>0.49090457251500325</v>
      </c>
      <c r="I142" s="1144">
        <f t="shared" si="34"/>
        <v>0</v>
      </c>
      <c r="J142" s="106"/>
      <c r="K142" s="1138">
        <v>0</v>
      </c>
      <c r="L142" s="624">
        <f t="shared" si="35"/>
        <v>1</v>
      </c>
      <c r="M142" s="625">
        <f t="shared" si="36"/>
        <v>0.49090457251500325</v>
      </c>
      <c r="N142" s="395">
        <f t="shared" si="37"/>
        <v>0</v>
      </c>
    </row>
    <row r="143" spans="1:14">
      <c r="A143" s="1064">
        <f t="shared" si="22"/>
        <v>129</v>
      </c>
      <c r="B143" s="424"/>
      <c r="C143" s="4"/>
      <c r="D143" s="106"/>
      <c r="E143" s="106"/>
      <c r="F143" s="106"/>
      <c r="G143" s="1131"/>
      <c r="H143" s="1131"/>
      <c r="I143" s="106"/>
      <c r="J143" s="106"/>
      <c r="K143" s="106"/>
      <c r="M143" s="625"/>
    </row>
    <row r="144" spans="1:14">
      <c r="A144" s="1064">
        <f t="shared" si="22"/>
        <v>130</v>
      </c>
      <c r="B144" s="424"/>
      <c r="C144" s="4" t="s">
        <v>308</v>
      </c>
      <c r="D144" s="462">
        <f>SUM(D122:D143)</f>
        <v>0</v>
      </c>
      <c r="E144" s="448">
        <f>SUM(E122:E143)</f>
        <v>0</v>
      </c>
      <c r="F144" s="448">
        <f>SUM(F122:F143)</f>
        <v>0</v>
      </c>
      <c r="G144" s="1131"/>
      <c r="H144" s="1131"/>
      <c r="I144" s="448">
        <f>SUM(I122:I143)</f>
        <v>0</v>
      </c>
      <c r="J144" s="106"/>
      <c r="K144" s="462">
        <f>SUM(K122:K143)</f>
        <v>0</v>
      </c>
      <c r="M144" s="625"/>
      <c r="N144" s="385">
        <f>SUM(N122:N143)</f>
        <v>0</v>
      </c>
    </row>
    <row r="145" spans="1:19">
      <c r="A145" s="1064">
        <f t="shared" ref="A145:A208" si="38">A144+1</f>
        <v>131</v>
      </c>
      <c r="B145" s="424"/>
      <c r="C145" s="4"/>
      <c r="D145" s="106"/>
      <c r="E145" s="106"/>
      <c r="F145" s="106"/>
      <c r="G145" s="1131"/>
      <c r="H145" s="1131"/>
      <c r="I145" s="106"/>
      <c r="J145" s="106"/>
      <c r="K145" s="106"/>
      <c r="M145" s="625"/>
    </row>
    <row r="146" spans="1:19">
      <c r="A146" s="1064">
        <f t="shared" si="38"/>
        <v>132</v>
      </c>
      <c r="B146" s="424"/>
      <c r="C146" s="17" t="s">
        <v>1190</v>
      </c>
      <c r="D146" s="106"/>
      <c r="E146" s="106"/>
      <c r="F146" s="106"/>
      <c r="G146" s="1131"/>
      <c r="H146" s="1131"/>
      <c r="I146" s="106"/>
      <c r="J146" s="106"/>
      <c r="K146" s="106"/>
      <c r="M146" s="625"/>
    </row>
    <row r="147" spans="1:19">
      <c r="A147" s="1064">
        <f t="shared" si="38"/>
        <v>133</v>
      </c>
      <c r="B147" s="426">
        <v>39001</v>
      </c>
      <c r="C147" s="4" t="s">
        <v>556</v>
      </c>
      <c r="D147" s="417">
        <f>'[3]Gross Plant'!$AF63</f>
        <v>179338.52</v>
      </c>
      <c r="E147" s="448">
        <v>0</v>
      </c>
      <c r="F147" s="448">
        <f t="shared" ref="F147:F162" si="39">D147+E147</f>
        <v>179338.52</v>
      </c>
      <c r="G147" s="623">
        <f t="shared" ref="G147:G162" si="40">$G$16</f>
        <v>1</v>
      </c>
      <c r="H147" s="625">
        <f t="shared" ref="H147:H162" si="41">$H$116</f>
        <v>0.49090457251500325</v>
      </c>
      <c r="I147" s="448">
        <f t="shared" ref="I147:I162" si="42">F147*G147*H147</f>
        <v>88038.099496073351</v>
      </c>
      <c r="J147" s="106"/>
      <c r="K147" s="417">
        <f>'[3]Gross Plant'!$D63</f>
        <v>179338.52</v>
      </c>
      <c r="L147" s="624">
        <f t="shared" ref="L147:L162" si="43">G147</f>
        <v>1</v>
      </c>
      <c r="M147" s="625">
        <f t="shared" ref="M147:M162" si="44">H147</f>
        <v>0.49090457251500325</v>
      </c>
      <c r="N147" s="385">
        <f t="shared" ref="N147:N162" si="45">K147*L147*M147</f>
        <v>88038.099496073351</v>
      </c>
      <c r="S147" s="78"/>
    </row>
    <row r="148" spans="1:19">
      <c r="A148" s="1064">
        <f t="shared" si="38"/>
        <v>134</v>
      </c>
      <c r="B148" s="426">
        <v>39004</v>
      </c>
      <c r="C148" s="4" t="s">
        <v>459</v>
      </c>
      <c r="D148" s="417">
        <f>'[3]Gross Plant'!$AF64</f>
        <v>5771</v>
      </c>
      <c r="E148" s="581">
        <v>0</v>
      </c>
      <c r="F148" s="581">
        <f t="shared" si="39"/>
        <v>5771</v>
      </c>
      <c r="G148" s="623">
        <f t="shared" si="40"/>
        <v>1</v>
      </c>
      <c r="H148" s="625">
        <f t="shared" si="41"/>
        <v>0.49090457251500325</v>
      </c>
      <c r="I148" s="581">
        <f t="shared" si="42"/>
        <v>2833.0102879840838</v>
      </c>
      <c r="J148" s="106"/>
      <c r="K148" s="417">
        <f>'[3]Gross Plant'!$D64</f>
        <v>5771</v>
      </c>
      <c r="L148" s="624">
        <f t="shared" si="43"/>
        <v>1</v>
      </c>
      <c r="M148" s="625">
        <f t="shared" si="44"/>
        <v>0.49090457251500325</v>
      </c>
      <c r="N148" s="394">
        <f t="shared" si="45"/>
        <v>2833.0102879840838</v>
      </c>
      <c r="S148" s="78"/>
    </row>
    <row r="149" spans="1:19">
      <c r="A149" s="1064">
        <f t="shared" si="38"/>
        <v>135</v>
      </c>
      <c r="B149" s="426">
        <v>39009</v>
      </c>
      <c r="C149" s="4" t="s">
        <v>1056</v>
      </c>
      <c r="D149" s="417">
        <f>'[3]Gross Plant'!$AF65</f>
        <v>188834</v>
      </c>
      <c r="E149" s="581">
        <v>0</v>
      </c>
      <c r="F149" s="581">
        <f t="shared" si="39"/>
        <v>188834</v>
      </c>
      <c r="G149" s="623">
        <f t="shared" si="40"/>
        <v>1</v>
      </c>
      <c r="H149" s="625">
        <f t="shared" si="41"/>
        <v>0.49090457251500325</v>
      </c>
      <c r="I149" s="581">
        <f t="shared" si="42"/>
        <v>92699.474046298128</v>
      </c>
      <c r="J149" s="106"/>
      <c r="K149" s="417">
        <f>'[3]Gross Plant'!$D65</f>
        <v>154218.61538461538</v>
      </c>
      <c r="L149" s="624">
        <f t="shared" si="43"/>
        <v>1</v>
      </c>
      <c r="M149" s="625">
        <f t="shared" si="44"/>
        <v>0.49090457251500325</v>
      </c>
      <c r="N149" s="394">
        <f t="shared" si="45"/>
        <v>75706.62345924032</v>
      </c>
      <c r="S149" s="78"/>
    </row>
    <row r="150" spans="1:19">
      <c r="A150" s="1064">
        <f t="shared" si="38"/>
        <v>136</v>
      </c>
      <c r="B150" s="426">
        <v>39100</v>
      </c>
      <c r="C150" s="4" t="s">
        <v>796</v>
      </c>
      <c r="D150" s="417">
        <f>'[3]Gross Plant'!$AF66</f>
        <v>42652.820000000007</v>
      </c>
      <c r="E150" s="581">
        <v>0</v>
      </c>
      <c r="F150" s="581">
        <f t="shared" si="39"/>
        <v>42652.820000000007</v>
      </c>
      <c r="G150" s="623">
        <f t="shared" si="40"/>
        <v>1</v>
      </c>
      <c r="H150" s="625">
        <f t="shared" si="41"/>
        <v>0.49090457251500325</v>
      </c>
      <c r="I150" s="581">
        <f t="shared" si="42"/>
        <v>20938.464368659384</v>
      </c>
      <c r="J150" s="106"/>
      <c r="K150" s="417">
        <f>'[3]Gross Plant'!$D66</f>
        <v>42652.820000000014</v>
      </c>
      <c r="L150" s="624">
        <f t="shared" si="43"/>
        <v>1</v>
      </c>
      <c r="M150" s="625">
        <f t="shared" si="44"/>
        <v>0.49090457251500325</v>
      </c>
      <c r="N150" s="394">
        <f t="shared" si="45"/>
        <v>20938.464368659388</v>
      </c>
      <c r="S150" s="78"/>
    </row>
    <row r="151" spans="1:19">
      <c r="A151" s="1064">
        <f t="shared" si="38"/>
        <v>137</v>
      </c>
      <c r="B151" s="426">
        <v>39200</v>
      </c>
      <c r="C151" s="4" t="s">
        <v>1096</v>
      </c>
      <c r="D151" s="417">
        <f>'[3]Gross Plant'!$AF67</f>
        <v>4109.6899999999996</v>
      </c>
      <c r="E151" s="581">
        <v>0</v>
      </c>
      <c r="F151" s="581">
        <f t="shared" si="39"/>
        <v>4109.6899999999996</v>
      </c>
      <c r="G151" s="623">
        <f t="shared" si="40"/>
        <v>1</v>
      </c>
      <c r="H151" s="625">
        <f t="shared" si="41"/>
        <v>0.49090457251500325</v>
      </c>
      <c r="I151" s="581">
        <f t="shared" si="42"/>
        <v>2017.4656126191835</v>
      </c>
      <c r="J151" s="106"/>
      <c r="K151" s="417">
        <f>'[3]Gross Plant'!$D67</f>
        <v>4109.6900000000005</v>
      </c>
      <c r="L151" s="624">
        <f t="shared" si="43"/>
        <v>1</v>
      </c>
      <c r="M151" s="625">
        <f t="shared" si="44"/>
        <v>0.49090457251500325</v>
      </c>
      <c r="N151" s="394">
        <f t="shared" si="45"/>
        <v>2017.465612619184</v>
      </c>
      <c r="S151" s="78"/>
    </row>
    <row r="152" spans="1:19">
      <c r="A152" s="1064">
        <f t="shared" si="38"/>
        <v>138</v>
      </c>
      <c r="B152" s="426">
        <v>39400</v>
      </c>
      <c r="C152" s="4" t="s">
        <v>1055</v>
      </c>
      <c r="D152" s="417">
        <f>'[3]Gross Plant'!$AF68</f>
        <v>163707.46</v>
      </c>
      <c r="E152" s="581">
        <v>0</v>
      </c>
      <c r="F152" s="581">
        <f t="shared" si="39"/>
        <v>163707.46</v>
      </c>
      <c r="G152" s="623">
        <f t="shared" si="40"/>
        <v>1</v>
      </c>
      <c r="H152" s="625">
        <f t="shared" si="41"/>
        <v>0.49090457251500325</v>
      </c>
      <c r="I152" s="581">
        <f t="shared" si="42"/>
        <v>80364.740668816987</v>
      </c>
      <c r="J152" s="106"/>
      <c r="K152" s="417">
        <f>'[3]Gross Plant'!$D68</f>
        <v>163707.46</v>
      </c>
      <c r="L152" s="624">
        <f t="shared" si="43"/>
        <v>1</v>
      </c>
      <c r="M152" s="625">
        <f t="shared" si="44"/>
        <v>0.49090457251500325</v>
      </c>
      <c r="N152" s="394">
        <f t="shared" si="45"/>
        <v>80364.740668816987</v>
      </c>
      <c r="S152" s="78"/>
    </row>
    <row r="153" spans="1:19">
      <c r="A153" s="1064">
        <f t="shared" si="38"/>
        <v>139</v>
      </c>
      <c r="B153" s="426">
        <v>39600</v>
      </c>
      <c r="C153" s="4" t="s">
        <v>557</v>
      </c>
      <c r="D153" s="417">
        <f>'[3]Gross Plant'!$AF69</f>
        <v>11037.170000000002</v>
      </c>
      <c r="E153" s="581">
        <v>0</v>
      </c>
      <c r="F153" s="581">
        <f t="shared" si="39"/>
        <v>11037.170000000002</v>
      </c>
      <c r="G153" s="623">
        <f t="shared" si="40"/>
        <v>1</v>
      </c>
      <c r="H153" s="625">
        <f t="shared" si="41"/>
        <v>0.49090457251500325</v>
      </c>
      <c r="I153" s="581">
        <f t="shared" si="42"/>
        <v>5418.1972206254195</v>
      </c>
      <c r="J153" s="106"/>
      <c r="K153" s="417">
        <f>'[3]Gross Plant'!$D69</f>
        <v>11037.170000000002</v>
      </c>
      <c r="L153" s="624">
        <f t="shared" si="43"/>
        <v>1</v>
      </c>
      <c r="M153" s="625">
        <f t="shared" si="44"/>
        <v>0.49090457251500325</v>
      </c>
      <c r="N153" s="394">
        <f t="shared" si="45"/>
        <v>5418.1972206254195</v>
      </c>
      <c r="S153" s="78"/>
    </row>
    <row r="154" spans="1:19">
      <c r="A154" s="1064">
        <f t="shared" si="38"/>
        <v>140</v>
      </c>
      <c r="B154" s="426">
        <v>39700</v>
      </c>
      <c r="C154" s="4" t="s">
        <v>454</v>
      </c>
      <c r="D154" s="417">
        <f>'[3]Gross Plant'!$AF70</f>
        <v>225613.58</v>
      </c>
      <c r="E154" s="581">
        <v>0</v>
      </c>
      <c r="F154" s="581">
        <f t="shared" si="39"/>
        <v>225613.58</v>
      </c>
      <c r="G154" s="623">
        <f t="shared" si="40"/>
        <v>1</v>
      </c>
      <c r="H154" s="625">
        <f t="shared" si="41"/>
        <v>0.49090457251500325</v>
      </c>
      <c r="I154" s="581">
        <f t="shared" si="42"/>
        <v>110754.73804347948</v>
      </c>
      <c r="J154" s="106"/>
      <c r="K154" s="417">
        <f>'[3]Gross Plant'!$D70</f>
        <v>225613.58000000005</v>
      </c>
      <c r="L154" s="624">
        <f t="shared" si="43"/>
        <v>1</v>
      </c>
      <c r="M154" s="625">
        <f t="shared" si="44"/>
        <v>0.49090457251500325</v>
      </c>
      <c r="N154" s="394">
        <f t="shared" si="45"/>
        <v>110754.7380434795</v>
      </c>
      <c r="S154" s="78"/>
    </row>
    <row r="155" spans="1:19">
      <c r="A155" s="1064">
        <f t="shared" si="38"/>
        <v>141</v>
      </c>
      <c r="B155" s="426">
        <v>39800</v>
      </c>
      <c r="C155" s="4" t="s">
        <v>666</v>
      </c>
      <c r="D155" s="417">
        <f>'[3]Gross Plant'!$AF71</f>
        <v>882228.18</v>
      </c>
      <c r="E155" s="581">
        <v>0</v>
      </c>
      <c r="F155" s="581">
        <f t="shared" si="39"/>
        <v>882228.18</v>
      </c>
      <c r="G155" s="623">
        <f t="shared" si="40"/>
        <v>1</v>
      </c>
      <c r="H155" s="625">
        <f t="shared" si="41"/>
        <v>0.49090457251500325</v>
      </c>
      <c r="I155" s="581">
        <f t="shared" si="42"/>
        <v>433089.84756358934</v>
      </c>
      <c r="J155" s="106"/>
      <c r="K155" s="417">
        <f>'[3]Gross Plant'!$D71</f>
        <v>882228.17999999982</v>
      </c>
      <c r="L155" s="624">
        <f t="shared" si="43"/>
        <v>1</v>
      </c>
      <c r="M155" s="625">
        <f t="shared" si="44"/>
        <v>0.49090457251500325</v>
      </c>
      <c r="N155" s="394">
        <f t="shared" si="45"/>
        <v>433089.84756358922</v>
      </c>
      <c r="S155" s="78"/>
    </row>
    <row r="156" spans="1:19">
      <c r="A156" s="1064">
        <f t="shared" si="38"/>
        <v>142</v>
      </c>
      <c r="B156" s="426">
        <v>39900</v>
      </c>
      <c r="C156" s="4" t="s">
        <v>1173</v>
      </c>
      <c r="D156" s="417">
        <f>'[3]Gross Plant'!$AF72</f>
        <v>76993.22</v>
      </c>
      <c r="E156" s="581">
        <v>0</v>
      </c>
      <c r="F156" s="581">
        <f t="shared" si="39"/>
        <v>76993.22</v>
      </c>
      <c r="G156" s="623">
        <f t="shared" si="40"/>
        <v>1</v>
      </c>
      <c r="H156" s="625">
        <f t="shared" si="41"/>
        <v>0.49090457251500325</v>
      </c>
      <c r="I156" s="581">
        <f t="shared" si="42"/>
        <v>37796.323750653595</v>
      </c>
      <c r="J156" s="106"/>
      <c r="K156" s="417">
        <f>'[3]Gross Plant'!$D72</f>
        <v>76993.219999999987</v>
      </c>
      <c r="L156" s="624">
        <f t="shared" si="43"/>
        <v>1</v>
      </c>
      <c r="M156" s="625">
        <f t="shared" si="44"/>
        <v>0.49090457251500325</v>
      </c>
      <c r="N156" s="394">
        <f t="shared" si="45"/>
        <v>37796.323750653595</v>
      </c>
      <c r="S156" s="78"/>
    </row>
    <row r="157" spans="1:19">
      <c r="A157" s="1064">
        <f t="shared" si="38"/>
        <v>143</v>
      </c>
      <c r="B157" s="426">
        <v>39901</v>
      </c>
      <c r="C157" s="4" t="s">
        <v>489</v>
      </c>
      <c r="D157" s="417">
        <f>'[3]Gross Plant'!$AF73</f>
        <v>344193.54</v>
      </c>
      <c r="E157" s="581">
        <v>0</v>
      </c>
      <c r="F157" s="581">
        <f t="shared" si="39"/>
        <v>344193.54</v>
      </c>
      <c r="G157" s="623">
        <f t="shared" si="40"/>
        <v>1</v>
      </c>
      <c r="H157" s="625">
        <f t="shared" si="41"/>
        <v>0.49090457251500325</v>
      </c>
      <c r="I157" s="581">
        <f t="shared" si="42"/>
        <v>168966.18261612565</v>
      </c>
      <c r="J157" s="106"/>
      <c r="K157" s="417">
        <f>'[3]Gross Plant'!$D73</f>
        <v>344193.54</v>
      </c>
      <c r="L157" s="624">
        <f t="shared" si="43"/>
        <v>1</v>
      </c>
      <c r="M157" s="625">
        <f t="shared" si="44"/>
        <v>0.49090457251500325</v>
      </c>
      <c r="N157" s="394">
        <f t="shared" si="45"/>
        <v>168966.18261612565</v>
      </c>
      <c r="S157" s="78"/>
    </row>
    <row r="158" spans="1:19">
      <c r="A158" s="1064">
        <f t="shared" si="38"/>
        <v>144</v>
      </c>
      <c r="B158" s="426">
        <v>39902</v>
      </c>
      <c r="C158" s="4" t="s">
        <v>979</v>
      </c>
      <c r="D158" s="417">
        <f>'[3]Gross Plant'!$AF74</f>
        <v>8273.14</v>
      </c>
      <c r="E158" s="581">
        <v>0</v>
      </c>
      <c r="F158" s="581">
        <f t="shared" si="39"/>
        <v>8273.14</v>
      </c>
      <c r="G158" s="623">
        <f t="shared" si="40"/>
        <v>1</v>
      </c>
      <c r="H158" s="625">
        <f t="shared" si="41"/>
        <v>0.49090457251500325</v>
      </c>
      <c r="I158" s="581">
        <f t="shared" si="42"/>
        <v>4061.3222550567739</v>
      </c>
      <c r="J158" s="106"/>
      <c r="K158" s="417">
        <f>'[3]Gross Plant'!$D74</f>
        <v>8273.14</v>
      </c>
      <c r="L158" s="624">
        <f t="shared" si="43"/>
        <v>1</v>
      </c>
      <c r="M158" s="625">
        <f t="shared" si="44"/>
        <v>0.49090457251500325</v>
      </c>
      <c r="N158" s="394">
        <f t="shared" si="45"/>
        <v>4061.3222550567739</v>
      </c>
      <c r="S158" s="78"/>
    </row>
    <row r="159" spans="1:19">
      <c r="A159" s="1064">
        <f t="shared" si="38"/>
        <v>145</v>
      </c>
      <c r="B159" s="426">
        <v>39903</v>
      </c>
      <c r="C159" s="4" t="s">
        <v>1022</v>
      </c>
      <c r="D159" s="417">
        <f>'[3]Gross Plant'!$AF75</f>
        <v>209357.66</v>
      </c>
      <c r="E159" s="581">
        <v>0</v>
      </c>
      <c r="F159" s="581">
        <f t="shared" si="39"/>
        <v>209357.66</v>
      </c>
      <c r="G159" s="623">
        <f t="shared" si="40"/>
        <v>1</v>
      </c>
      <c r="H159" s="625">
        <f t="shared" si="41"/>
        <v>0.49090457251500325</v>
      </c>
      <c r="I159" s="581">
        <f t="shared" si="42"/>
        <v>102774.6325850414</v>
      </c>
      <c r="J159" s="106"/>
      <c r="K159" s="417">
        <f>'[3]Gross Plant'!$D75</f>
        <v>209357.66</v>
      </c>
      <c r="L159" s="624">
        <f t="shared" si="43"/>
        <v>1</v>
      </c>
      <c r="M159" s="625">
        <f t="shared" si="44"/>
        <v>0.49090457251500325</v>
      </c>
      <c r="N159" s="394">
        <f t="shared" si="45"/>
        <v>102774.6325850414</v>
      </c>
      <c r="S159" s="78"/>
    </row>
    <row r="160" spans="1:19">
      <c r="A160" s="1064">
        <f t="shared" si="38"/>
        <v>146</v>
      </c>
      <c r="B160" s="426">
        <v>39906</v>
      </c>
      <c r="C160" s="4" t="s">
        <v>465</v>
      </c>
      <c r="D160" s="417">
        <f>'[3]Gross Plant'!$AF76</f>
        <v>325080.34000000003</v>
      </c>
      <c r="E160" s="581">
        <v>0</v>
      </c>
      <c r="F160" s="581">
        <f t="shared" si="39"/>
        <v>325080.34000000003</v>
      </c>
      <c r="G160" s="623">
        <f t="shared" si="40"/>
        <v>1</v>
      </c>
      <c r="H160" s="625">
        <f t="shared" si="41"/>
        <v>0.49090457251500325</v>
      </c>
      <c r="I160" s="581">
        <f t="shared" si="42"/>
        <v>159583.42534073192</v>
      </c>
      <c r="J160" s="106"/>
      <c r="K160" s="417">
        <f>'[3]Gross Plant'!$D76</f>
        <v>325080.33999999997</v>
      </c>
      <c r="L160" s="624">
        <f t="shared" si="43"/>
        <v>1</v>
      </c>
      <c r="M160" s="625">
        <f t="shared" si="44"/>
        <v>0.49090457251500325</v>
      </c>
      <c r="N160" s="394">
        <f t="shared" si="45"/>
        <v>159583.42534073189</v>
      </c>
      <c r="S160" s="78"/>
    </row>
    <row r="161" spans="1:19">
      <c r="A161" s="1064">
        <f t="shared" si="38"/>
        <v>147</v>
      </c>
      <c r="B161" s="426">
        <v>39907</v>
      </c>
      <c r="C161" s="4" t="s">
        <v>520</v>
      </c>
      <c r="D161" s="417">
        <f>'[3]Gross Plant'!$AF77</f>
        <v>74880.070000000007</v>
      </c>
      <c r="E161" s="581">
        <v>0</v>
      </c>
      <c r="F161" s="581">
        <f t="shared" si="39"/>
        <v>74880.070000000007</v>
      </c>
      <c r="G161" s="623">
        <f t="shared" si="40"/>
        <v>1</v>
      </c>
      <c r="H161" s="625">
        <f t="shared" si="41"/>
        <v>0.49090457251500325</v>
      </c>
      <c r="I161" s="581">
        <f t="shared" si="42"/>
        <v>36758.96875324352</v>
      </c>
      <c r="J161" s="106"/>
      <c r="K161" s="417">
        <f>'[3]Gross Plant'!$D77</f>
        <v>74880.070000000036</v>
      </c>
      <c r="L161" s="624">
        <f t="shared" si="43"/>
        <v>1</v>
      </c>
      <c r="M161" s="558">
        <f t="shared" si="44"/>
        <v>0.49090457251500325</v>
      </c>
      <c r="N161" s="394">
        <f t="shared" si="45"/>
        <v>36758.968753243535</v>
      </c>
      <c r="S161" s="78"/>
    </row>
    <row r="162" spans="1:19">
      <c r="A162" s="1064">
        <f t="shared" si="38"/>
        <v>148</v>
      </c>
      <c r="B162" s="426">
        <v>39908</v>
      </c>
      <c r="C162" s="4" t="s">
        <v>184</v>
      </c>
      <c r="D162" s="417">
        <f>'[3]Gross Plant'!$AF78</f>
        <v>898473.13</v>
      </c>
      <c r="E162" s="581">
        <v>0</v>
      </c>
      <c r="F162" s="581">
        <f t="shared" si="39"/>
        <v>898473.13</v>
      </c>
      <c r="G162" s="623">
        <f t="shared" si="40"/>
        <v>1</v>
      </c>
      <c r="H162" s="625">
        <f t="shared" si="41"/>
        <v>0.49090457251500325</v>
      </c>
      <c r="I162" s="581">
        <f t="shared" si="42"/>
        <v>441064.56779886695</v>
      </c>
      <c r="J162" s="106"/>
      <c r="K162" s="417">
        <f>'[3]Gross Plant'!$D78</f>
        <v>898473.13000000024</v>
      </c>
      <c r="L162" s="624">
        <f t="shared" si="43"/>
        <v>1</v>
      </c>
      <c r="M162" s="558">
        <f t="shared" si="44"/>
        <v>0.49090457251500325</v>
      </c>
      <c r="N162" s="394">
        <f t="shared" si="45"/>
        <v>441064.56779886706</v>
      </c>
      <c r="S162" s="78"/>
    </row>
    <row r="163" spans="1:19">
      <c r="A163" s="1064">
        <f t="shared" si="38"/>
        <v>149</v>
      </c>
      <c r="B163" s="424"/>
      <c r="C163" s="4"/>
      <c r="D163" s="812"/>
      <c r="E163" s="812"/>
      <c r="F163" s="812"/>
      <c r="G163" s="1131"/>
      <c r="H163" s="1131"/>
      <c r="I163" s="812"/>
      <c r="J163" s="106"/>
      <c r="K163" s="812"/>
      <c r="N163" s="789"/>
    </row>
    <row r="164" spans="1:19">
      <c r="A164" s="1064">
        <f t="shared" si="38"/>
        <v>150</v>
      </c>
      <c r="B164" s="424"/>
      <c r="C164" s="4" t="s">
        <v>4</v>
      </c>
      <c r="D164" s="462">
        <f>SUM(D147:D163)</f>
        <v>3640543.5199999996</v>
      </c>
      <c r="E164" s="448">
        <f>SUM(E147:E163)</f>
        <v>0</v>
      </c>
      <c r="F164" s="462">
        <f>SUM(F147:F163)</f>
        <v>3640543.5199999996</v>
      </c>
      <c r="G164" s="1131"/>
      <c r="H164" s="1131"/>
      <c r="I164" s="462">
        <f>SUM(I147:I163)</f>
        <v>1787159.460407865</v>
      </c>
      <c r="J164" s="106"/>
      <c r="K164" s="462">
        <f>SUM(K147:K163)</f>
        <v>3605928.1353846155</v>
      </c>
      <c r="N164" s="407">
        <f>SUM(N147:N163)</f>
        <v>1770166.6098208074</v>
      </c>
    </row>
    <row r="165" spans="1:19">
      <c r="A165" s="1064">
        <f t="shared" si="38"/>
        <v>151</v>
      </c>
      <c r="B165" s="424"/>
      <c r="C165" s="4"/>
      <c r="D165" s="106"/>
      <c r="E165" s="106"/>
      <c r="F165" s="106"/>
      <c r="G165" s="1131"/>
      <c r="H165" s="1131"/>
      <c r="I165" s="106"/>
      <c r="J165" s="106"/>
      <c r="K165" s="106"/>
    </row>
    <row r="166" spans="1:19" ht="15.75" thickBot="1">
      <c r="A166" s="1064">
        <f t="shared" si="38"/>
        <v>152</v>
      </c>
      <c r="B166" s="424"/>
      <c r="C166" s="247" t="s">
        <v>1363</v>
      </c>
      <c r="D166" s="1139">
        <f>D119+D144+D164</f>
        <v>4935404.47</v>
      </c>
      <c r="E166" s="428">
        <f>E119+E144+E164</f>
        <v>0</v>
      </c>
      <c r="F166" s="1139">
        <f>F119+F144+F164</f>
        <v>4935404.47</v>
      </c>
      <c r="G166" s="1131"/>
      <c r="H166" s="1131"/>
      <c r="I166" s="1139">
        <f>I119+I144+I164</f>
        <v>2422812.6215339862</v>
      </c>
      <c r="J166" s="106"/>
      <c r="K166" s="1139">
        <f>K119+K144+K164</f>
        <v>4900789.0853846157</v>
      </c>
      <c r="N166" s="415">
        <f>N119+N144+N164</f>
        <v>2405819.7709469283</v>
      </c>
      <c r="P166" s="1058"/>
      <c r="Q166" s="1058"/>
    </row>
    <row r="167" spans="1:19" ht="15.75" thickTop="1">
      <c r="A167" s="1064">
        <f t="shared" si="38"/>
        <v>153</v>
      </c>
      <c r="B167" s="424"/>
      <c r="C167" s="115"/>
      <c r="D167" s="417"/>
      <c r="E167" s="427"/>
      <c r="F167" s="427"/>
      <c r="G167" s="1131"/>
      <c r="H167" s="1131"/>
      <c r="I167" s="427"/>
      <c r="J167" s="106"/>
      <c r="K167" s="106"/>
    </row>
    <row r="168" spans="1:19">
      <c r="A168" s="1064">
        <f t="shared" si="38"/>
        <v>154</v>
      </c>
      <c r="B168" s="424"/>
      <c r="C168" s="107" t="s">
        <v>766</v>
      </c>
      <c r="D168" s="417">
        <f>'[3]Gross Plant'!$AF179</f>
        <v>-174493.9</v>
      </c>
      <c r="E168" s="427">
        <v>0</v>
      </c>
      <c r="F168" s="427">
        <f>D168+E168</f>
        <v>-174493.9</v>
      </c>
      <c r="G168" s="623">
        <f>$G$16</f>
        <v>1</v>
      </c>
      <c r="H168" s="625">
        <f>$H$116</f>
        <v>0.49090457251500325</v>
      </c>
      <c r="I168" s="427">
        <f>F168*G168*H168</f>
        <v>-85659.853385975715</v>
      </c>
      <c r="J168" s="106"/>
      <c r="K168" s="417">
        <f>'[3]Gross Plant'!$D179</f>
        <v>-174493.89999999997</v>
      </c>
      <c r="L168" s="624">
        <f>G168</f>
        <v>1</v>
      </c>
      <c r="M168" s="558">
        <f>H168</f>
        <v>0.49090457251500325</v>
      </c>
      <c r="N168" s="423">
        <f>K168*L168*M168</f>
        <v>-85659.853385975701</v>
      </c>
    </row>
    <row r="169" spans="1:19">
      <c r="A169" s="1064">
        <f t="shared" si="38"/>
        <v>155</v>
      </c>
      <c r="B169" s="424"/>
      <c r="D169" s="106"/>
      <c r="E169" s="106"/>
      <c r="F169" s="106"/>
      <c r="G169" s="1131"/>
      <c r="H169" s="1131"/>
      <c r="I169" s="106"/>
      <c r="J169" s="106"/>
      <c r="K169" s="106"/>
    </row>
    <row r="170" spans="1:19" ht="15.75">
      <c r="A170" s="1064">
        <f t="shared" si="38"/>
        <v>156</v>
      </c>
      <c r="B170" s="419" t="s">
        <v>8</v>
      </c>
      <c r="D170" s="106"/>
      <c r="E170" s="106"/>
      <c r="F170" s="106"/>
      <c r="G170" s="1131"/>
      <c r="H170" s="1131"/>
      <c r="I170" s="106"/>
      <c r="J170" s="106"/>
      <c r="K170" s="106"/>
    </row>
    <row r="171" spans="1:19">
      <c r="A171" s="1064">
        <f t="shared" si="38"/>
        <v>157</v>
      </c>
      <c r="B171" s="424"/>
      <c r="D171" s="106"/>
      <c r="E171" s="106"/>
      <c r="F171" s="106"/>
      <c r="G171" s="1131"/>
      <c r="H171" s="1131"/>
      <c r="I171" s="106"/>
      <c r="J171" s="106"/>
      <c r="K171" s="106"/>
    </row>
    <row r="172" spans="1:19">
      <c r="A172" s="1064">
        <f t="shared" si="38"/>
        <v>158</v>
      </c>
      <c r="B172" s="424"/>
      <c r="C172" s="813" t="s">
        <v>309</v>
      </c>
      <c r="D172" s="106"/>
      <c r="E172" s="106"/>
      <c r="F172" s="106"/>
      <c r="G172" s="1131"/>
      <c r="H172" s="1131"/>
      <c r="I172" s="106"/>
      <c r="J172" s="106"/>
      <c r="K172" s="106"/>
    </row>
    <row r="173" spans="1:19">
      <c r="A173" s="1064">
        <f t="shared" si="38"/>
        <v>159</v>
      </c>
      <c r="B173" s="416">
        <v>39000</v>
      </c>
      <c r="C173" s="311" t="s">
        <v>874</v>
      </c>
      <c r="D173" s="417">
        <f>'[3]Gross Plant'!$AF7</f>
        <v>2406158.4247643272</v>
      </c>
      <c r="E173" s="448">
        <v>0</v>
      </c>
      <c r="F173" s="448">
        <f t="shared" ref="F173:F194" si="46">D173+E173</f>
        <v>2406158.4247643272</v>
      </c>
      <c r="G173" s="625">
        <f>Allocation!$C$14</f>
        <v>0.1071</v>
      </c>
      <c r="H173" s="625">
        <f>Allocation!$D$14</f>
        <v>0.49090457251500325</v>
      </c>
      <c r="I173" s="448">
        <f t="shared" ref="I173:I194" si="47">F173*G173*H173</f>
        <v>126505.89591890793</v>
      </c>
      <c r="J173" s="106"/>
      <c r="K173" s="417">
        <f>'[3]Gross Plant'!$D7</f>
        <v>2328248.7189121102</v>
      </c>
      <c r="L173" s="558">
        <f t="shared" ref="L173:L194" si="48">G173</f>
        <v>0.1071</v>
      </c>
      <c r="M173" s="558">
        <f t="shared" ref="M173:M194" si="49">H173</f>
        <v>0.49090457251500325</v>
      </c>
      <c r="N173" s="385">
        <f t="shared" ref="N173:N194" si="50">K173*L173*M173</f>
        <v>122409.72459528504</v>
      </c>
      <c r="P173" s="875"/>
      <c r="S173" s="78"/>
    </row>
    <row r="174" spans="1:19">
      <c r="A174" s="1064">
        <f t="shared" si="38"/>
        <v>160</v>
      </c>
      <c r="B174" s="416">
        <v>39005</v>
      </c>
      <c r="C174" s="311" t="s">
        <v>1217</v>
      </c>
      <c r="D174" s="417">
        <f>'[3]Gross Plant'!$AF8</f>
        <v>9199400.5099999998</v>
      </c>
      <c r="E174" s="815">
        <v>0</v>
      </c>
      <c r="F174" s="581">
        <f>D174+E174</f>
        <v>9199400.5099999998</v>
      </c>
      <c r="G174" s="625">
        <v>1</v>
      </c>
      <c r="H174" s="625">
        <f>Allocation!$E$20</f>
        <v>1.5418259551017742E-2</v>
      </c>
      <c r="I174" s="581">
        <f>F174*G174*H174</f>
        <v>141838.74477694498</v>
      </c>
      <c r="J174" s="106"/>
      <c r="K174" s="417">
        <f>'[3]Gross Plant'!$D8</f>
        <v>9199400.5100000016</v>
      </c>
      <c r="L174" s="558">
        <f>G174</f>
        <v>1</v>
      </c>
      <c r="M174" s="558">
        <f>H174</f>
        <v>1.5418259551017742E-2</v>
      </c>
      <c r="N174" s="394">
        <f>K174*L174*M174</f>
        <v>141838.74477694501</v>
      </c>
      <c r="P174" s="875"/>
      <c r="S174" s="78"/>
    </row>
    <row r="175" spans="1:19">
      <c r="A175" s="1064">
        <f t="shared" si="38"/>
        <v>161</v>
      </c>
      <c r="B175" s="416">
        <v>39009</v>
      </c>
      <c r="C175" s="311" t="s">
        <v>1056</v>
      </c>
      <c r="D175" s="417">
        <f>'[3]Gross Plant'!$AF9</f>
        <v>9915817.7427804563</v>
      </c>
      <c r="E175" s="815">
        <v>0</v>
      </c>
      <c r="F175" s="581">
        <f t="shared" si="46"/>
        <v>9915817.7427804563</v>
      </c>
      <c r="G175" s="625">
        <f t="shared" ref="G175:G188" si="51">$G$173</f>
        <v>0.1071</v>
      </c>
      <c r="H175" s="625">
        <f>$H$173</f>
        <v>0.49090457251500325</v>
      </c>
      <c r="I175" s="581">
        <f t="shared" si="47"/>
        <v>521332.84093374235</v>
      </c>
      <c r="J175" s="106"/>
      <c r="K175" s="417">
        <f>'[3]Gross Plant'!$D9</f>
        <v>9655510.3041819111</v>
      </c>
      <c r="L175" s="558">
        <f t="shared" si="48"/>
        <v>0.1071</v>
      </c>
      <c r="M175" s="558">
        <f t="shared" si="49"/>
        <v>0.49090457251500325</v>
      </c>
      <c r="N175" s="394">
        <f t="shared" si="50"/>
        <v>507646.94835271226</v>
      </c>
      <c r="P175" s="875"/>
      <c r="S175" s="78"/>
    </row>
    <row r="176" spans="1:19">
      <c r="A176" s="1064">
        <f t="shared" si="38"/>
        <v>162</v>
      </c>
      <c r="B176" s="416">
        <v>39100</v>
      </c>
      <c r="C176" s="311" t="s">
        <v>796</v>
      </c>
      <c r="D176" s="417">
        <f>'[3]Gross Plant'!$AF10</f>
        <v>11440325.866491925</v>
      </c>
      <c r="E176" s="815">
        <v>0</v>
      </c>
      <c r="F176" s="581">
        <f t="shared" si="46"/>
        <v>11440325.866491925</v>
      </c>
      <c r="G176" s="625">
        <f t="shared" si="51"/>
        <v>0.1071</v>
      </c>
      <c r="H176" s="625">
        <f>$H$173</f>
        <v>0.49090457251500325</v>
      </c>
      <c r="I176" s="581">
        <f t="shared" si="47"/>
        <v>601485.19667260535</v>
      </c>
      <c r="J176" s="106"/>
      <c r="K176" s="417">
        <f>'[3]Gross Plant'!$D10</f>
        <v>11222845.811255045</v>
      </c>
      <c r="L176" s="558">
        <f t="shared" si="48"/>
        <v>0.1071</v>
      </c>
      <c r="M176" s="558">
        <f t="shared" si="49"/>
        <v>0.49090457251500325</v>
      </c>
      <c r="N176" s="394">
        <f t="shared" si="50"/>
        <v>590050.99144776457</v>
      </c>
      <c r="P176" s="875"/>
      <c r="S176" s="78"/>
    </row>
    <row r="177" spans="1:19">
      <c r="A177" s="1064">
        <f t="shared" si="38"/>
        <v>163</v>
      </c>
      <c r="B177" s="416">
        <v>39102</v>
      </c>
      <c r="C177" s="311" t="s">
        <v>542</v>
      </c>
      <c r="D177" s="417">
        <f>'[3]Gross Plant'!$AF11</f>
        <v>0</v>
      </c>
      <c r="E177" s="815">
        <v>0</v>
      </c>
      <c r="F177" s="581">
        <f t="shared" si="46"/>
        <v>0</v>
      </c>
      <c r="G177" s="625">
        <f t="shared" si="51"/>
        <v>0.1071</v>
      </c>
      <c r="H177" s="625">
        <f>$H$173</f>
        <v>0.49090457251500325</v>
      </c>
      <c r="I177" s="581">
        <f t="shared" si="47"/>
        <v>0</v>
      </c>
      <c r="J177" s="106"/>
      <c r="K177" s="417">
        <f>'[3]Gross Plant'!$D11</f>
        <v>0</v>
      </c>
      <c r="L177" s="558">
        <f t="shared" si="48"/>
        <v>0.1071</v>
      </c>
      <c r="M177" s="558">
        <f t="shared" si="49"/>
        <v>0.49090457251500325</v>
      </c>
      <c r="N177" s="394">
        <f t="shared" si="50"/>
        <v>0</v>
      </c>
      <c r="P177" s="875"/>
      <c r="S177" s="78"/>
    </row>
    <row r="178" spans="1:19">
      <c r="A178" s="1064">
        <f t="shared" si="38"/>
        <v>164</v>
      </c>
      <c r="B178" s="416">
        <v>39103</v>
      </c>
      <c r="C178" s="311" t="s">
        <v>797</v>
      </c>
      <c r="D178" s="417">
        <f>'[3]Gross Plant'!$AF12</f>
        <v>0</v>
      </c>
      <c r="E178" s="815">
        <v>0</v>
      </c>
      <c r="F178" s="581">
        <f t="shared" si="46"/>
        <v>0</v>
      </c>
      <c r="G178" s="625">
        <f t="shared" si="51"/>
        <v>0.1071</v>
      </c>
      <c r="H178" s="625">
        <f>$H$173</f>
        <v>0.49090457251500325</v>
      </c>
      <c r="I178" s="581">
        <f t="shared" si="47"/>
        <v>0</v>
      </c>
      <c r="J178" s="106"/>
      <c r="K178" s="417">
        <f>'[3]Gross Plant'!$D12</f>
        <v>0</v>
      </c>
      <c r="L178" s="558">
        <f t="shared" si="48"/>
        <v>0.1071</v>
      </c>
      <c r="M178" s="558">
        <f t="shared" si="49"/>
        <v>0.49090457251500325</v>
      </c>
      <c r="N178" s="394">
        <f t="shared" si="50"/>
        <v>0</v>
      </c>
      <c r="P178" s="875"/>
      <c r="S178" s="78"/>
    </row>
    <row r="179" spans="1:19">
      <c r="A179" s="1064">
        <f t="shared" si="38"/>
        <v>165</v>
      </c>
      <c r="B179" s="416">
        <v>39104</v>
      </c>
      <c r="C179" s="311" t="s">
        <v>1218</v>
      </c>
      <c r="D179" s="417">
        <f>'[3]Gross Plant'!$AF13</f>
        <v>63740.85</v>
      </c>
      <c r="E179" s="815">
        <v>0</v>
      </c>
      <c r="F179" s="581">
        <f>D179+E179</f>
        <v>63740.85</v>
      </c>
      <c r="G179" s="625">
        <v>1</v>
      </c>
      <c r="H179" s="625">
        <f>$H$174</f>
        <v>1.5418259551017742E-2</v>
      </c>
      <c r="I179" s="581">
        <f>F179*G179*H179</f>
        <v>982.77296930248917</v>
      </c>
      <c r="J179" s="106"/>
      <c r="K179" s="417">
        <f>'[3]Gross Plant'!$D13</f>
        <v>63740.849999999984</v>
      </c>
      <c r="L179" s="558">
        <f>G179</f>
        <v>1</v>
      </c>
      <c r="M179" s="558">
        <f>H179</f>
        <v>1.5418259551017742E-2</v>
      </c>
      <c r="N179" s="394">
        <f>K179*L179*M179</f>
        <v>982.77296930248895</v>
      </c>
      <c r="P179" s="875"/>
      <c r="S179" s="78"/>
    </row>
    <row r="180" spans="1:19">
      <c r="A180" s="1064">
        <f t="shared" si="38"/>
        <v>166</v>
      </c>
      <c r="B180" s="416">
        <v>39200</v>
      </c>
      <c r="C180" s="311" t="s">
        <v>1096</v>
      </c>
      <c r="D180" s="417">
        <f>'[3]Gross Plant'!$AF14</f>
        <v>103415.63</v>
      </c>
      <c r="E180" s="815">
        <v>0</v>
      </c>
      <c r="F180" s="581">
        <f t="shared" si="46"/>
        <v>103415.63</v>
      </c>
      <c r="G180" s="625">
        <f t="shared" si="51"/>
        <v>0.1071</v>
      </c>
      <c r="H180" s="625">
        <f t="shared" ref="H180:H196" si="52">$H$173</f>
        <v>0.49090457251500325</v>
      </c>
      <c r="I180" s="581">
        <f t="shared" si="47"/>
        <v>5437.1677236712649</v>
      </c>
      <c r="J180" s="106"/>
      <c r="K180" s="417">
        <f>'[3]Gross Plant'!$D14</f>
        <v>103415.62999999999</v>
      </c>
      <c r="L180" s="558">
        <f t="shared" si="48"/>
        <v>0.1071</v>
      </c>
      <c r="M180" s="558">
        <f t="shared" si="49"/>
        <v>0.49090457251500325</v>
      </c>
      <c r="N180" s="394">
        <f t="shared" si="50"/>
        <v>5437.167723671264</v>
      </c>
      <c r="P180" s="875"/>
      <c r="S180" s="78"/>
    </row>
    <row r="181" spans="1:19">
      <c r="A181" s="1064">
        <f t="shared" si="38"/>
        <v>167</v>
      </c>
      <c r="B181" s="416">
        <v>39300</v>
      </c>
      <c r="C181" s="311" t="s">
        <v>665</v>
      </c>
      <c r="D181" s="417">
        <f>'[3]Gross Plant'!$AF15</f>
        <v>0</v>
      </c>
      <c r="E181" s="815">
        <v>0</v>
      </c>
      <c r="F181" s="581">
        <f t="shared" si="46"/>
        <v>0</v>
      </c>
      <c r="G181" s="625">
        <f t="shared" si="51"/>
        <v>0.1071</v>
      </c>
      <c r="H181" s="625">
        <f t="shared" si="52"/>
        <v>0.49090457251500325</v>
      </c>
      <c r="I181" s="581">
        <f t="shared" si="47"/>
        <v>0</v>
      </c>
      <c r="J181" s="106"/>
      <c r="K181" s="417">
        <f>'[3]Gross Plant'!$D15</f>
        <v>0</v>
      </c>
      <c r="L181" s="558">
        <f t="shared" si="48"/>
        <v>0.1071</v>
      </c>
      <c r="M181" s="558">
        <f t="shared" si="49"/>
        <v>0.49090457251500325</v>
      </c>
      <c r="N181" s="394">
        <f t="shared" si="50"/>
        <v>0</v>
      </c>
      <c r="P181" s="875"/>
      <c r="S181" s="78"/>
    </row>
    <row r="182" spans="1:19">
      <c r="A182" s="1064">
        <f t="shared" si="38"/>
        <v>168</v>
      </c>
      <c r="B182" s="416">
        <v>39400</v>
      </c>
      <c r="C182" s="247" t="s">
        <v>1055</v>
      </c>
      <c r="D182" s="417">
        <f>'[3]Gross Plant'!$AF16</f>
        <v>2041939.1019556366</v>
      </c>
      <c r="E182" s="815">
        <v>0</v>
      </c>
      <c r="F182" s="581">
        <f t="shared" si="46"/>
        <v>2041939.1019556366</v>
      </c>
      <c r="G182" s="625">
        <f t="shared" si="51"/>
        <v>0.1071</v>
      </c>
      <c r="H182" s="625">
        <f t="shared" si="52"/>
        <v>0.49090457251500325</v>
      </c>
      <c r="I182" s="581">
        <f t="shared" si="47"/>
        <v>107356.74461254528</v>
      </c>
      <c r="J182" s="106"/>
      <c r="K182" s="417">
        <f>'[3]Gross Plant'!$D16</f>
        <v>1601538.3518460728</v>
      </c>
      <c r="L182" s="558">
        <f t="shared" si="48"/>
        <v>0.1071</v>
      </c>
      <c r="M182" s="558">
        <f t="shared" si="49"/>
        <v>0.49090457251500325</v>
      </c>
      <c r="N182" s="394">
        <f t="shared" si="50"/>
        <v>84202.287747791517</v>
      </c>
      <c r="P182" s="875"/>
      <c r="S182" s="78"/>
    </row>
    <row r="183" spans="1:19">
      <c r="A183" s="1064">
        <f t="shared" si="38"/>
        <v>169</v>
      </c>
      <c r="B183" s="416">
        <v>39500</v>
      </c>
      <c r="C183" s="247" t="s">
        <v>1219</v>
      </c>
      <c r="D183" s="417">
        <f>'[3]Gross Plant'!$AF17</f>
        <v>23632.07</v>
      </c>
      <c r="E183" s="815">
        <v>0</v>
      </c>
      <c r="F183" s="581">
        <f t="shared" si="46"/>
        <v>23632.07</v>
      </c>
      <c r="G183" s="625">
        <f t="shared" si="51"/>
        <v>0.1071</v>
      </c>
      <c r="H183" s="625">
        <f t="shared" si="52"/>
        <v>0.49090457251500325</v>
      </c>
      <c r="I183" s="581">
        <f t="shared" si="47"/>
        <v>1242.4768697685251</v>
      </c>
      <c r="J183" s="106"/>
      <c r="K183" s="417">
        <f>'[3]Gross Plant'!$D17</f>
        <v>23632.070000000003</v>
      </c>
      <c r="L183" s="558">
        <f t="shared" si="48"/>
        <v>0.1071</v>
      </c>
      <c r="M183" s="558">
        <f t="shared" si="49"/>
        <v>0.49090457251500325</v>
      </c>
      <c r="N183" s="394">
        <f t="shared" si="50"/>
        <v>1242.4768697685254</v>
      </c>
      <c r="P183" s="875"/>
      <c r="S183" s="78"/>
    </row>
    <row r="184" spans="1:19">
      <c r="A184" s="1064">
        <f t="shared" si="38"/>
        <v>170</v>
      </c>
      <c r="B184" s="416">
        <v>39700</v>
      </c>
      <c r="C184" s="247" t="s">
        <v>454</v>
      </c>
      <c r="D184" s="417">
        <f>'[3]Gross Plant'!$AF18</f>
        <v>2586949.3824508828</v>
      </c>
      <c r="E184" s="815">
        <v>0</v>
      </c>
      <c r="F184" s="581">
        <f t="shared" si="46"/>
        <v>2586949.3824508828</v>
      </c>
      <c r="G184" s="625">
        <f t="shared" si="51"/>
        <v>0.1071</v>
      </c>
      <c r="H184" s="625">
        <f t="shared" si="52"/>
        <v>0.49090457251500325</v>
      </c>
      <c r="I184" s="581">
        <f t="shared" si="47"/>
        <v>136011.13956404125</v>
      </c>
      <c r="J184" s="106"/>
      <c r="K184" s="417">
        <f>'[3]Gross Plant'!$D18</f>
        <v>2546563.8993940298</v>
      </c>
      <c r="L184" s="558">
        <f t="shared" si="48"/>
        <v>0.1071</v>
      </c>
      <c r="M184" s="558">
        <f t="shared" si="49"/>
        <v>0.49090457251500325</v>
      </c>
      <c r="N184" s="394">
        <f t="shared" si="50"/>
        <v>133887.83726455717</v>
      </c>
      <c r="P184" s="875"/>
      <c r="S184" s="78"/>
    </row>
    <row r="185" spans="1:19">
      <c r="A185" s="1064">
        <f t="shared" si="38"/>
        <v>171</v>
      </c>
      <c r="B185" s="416">
        <v>39800</v>
      </c>
      <c r="C185" s="247" t="s">
        <v>666</v>
      </c>
      <c r="D185" s="417">
        <f>'[3]Gross Plant'!$AF19</f>
        <v>573006.27824377455</v>
      </c>
      <c r="E185" s="815">
        <v>0</v>
      </c>
      <c r="F185" s="581">
        <f t="shared" si="46"/>
        <v>573006.27824377455</v>
      </c>
      <c r="G185" s="625">
        <f t="shared" si="51"/>
        <v>0.1071</v>
      </c>
      <c r="H185" s="625">
        <f t="shared" si="52"/>
        <v>0.49090457251500325</v>
      </c>
      <c r="I185" s="581">
        <f t="shared" si="47"/>
        <v>30126.309161661997</v>
      </c>
      <c r="J185" s="106"/>
      <c r="K185" s="417">
        <f>'[3]Gross Plant'!$D19</f>
        <v>549943.61539446609</v>
      </c>
      <c r="L185" s="558">
        <f t="shared" si="48"/>
        <v>0.1071</v>
      </c>
      <c r="M185" s="558">
        <f t="shared" si="49"/>
        <v>0.49090457251500325</v>
      </c>
      <c r="N185" s="394">
        <f t="shared" si="50"/>
        <v>28913.769373757863</v>
      </c>
      <c r="P185" s="875"/>
      <c r="S185" s="78"/>
    </row>
    <row r="186" spans="1:19">
      <c r="A186" s="1064">
        <f t="shared" si="38"/>
        <v>172</v>
      </c>
      <c r="B186" s="416">
        <v>39900</v>
      </c>
      <c r="C186" s="247" t="s">
        <v>1173</v>
      </c>
      <c r="D186" s="417">
        <f>'[3]Gross Plant'!$AF20</f>
        <v>168103.3</v>
      </c>
      <c r="E186" s="815">
        <v>0</v>
      </c>
      <c r="F186" s="581">
        <f t="shared" si="46"/>
        <v>168103.3</v>
      </c>
      <c r="G186" s="625">
        <f t="shared" si="51"/>
        <v>0.1071</v>
      </c>
      <c r="H186" s="625">
        <f t="shared" si="52"/>
        <v>0.49090457251500325</v>
      </c>
      <c r="I186" s="581">
        <f t="shared" si="47"/>
        <v>8838.1788807226494</v>
      </c>
      <c r="J186" s="106"/>
      <c r="K186" s="417">
        <f>'[3]Gross Plant'!$D20</f>
        <v>168103.30000000002</v>
      </c>
      <c r="L186" s="558">
        <f t="shared" si="48"/>
        <v>0.1071</v>
      </c>
      <c r="M186" s="558">
        <f t="shared" si="49"/>
        <v>0.49090457251500325</v>
      </c>
      <c r="N186" s="394">
        <f t="shared" si="50"/>
        <v>8838.1788807226512</v>
      </c>
      <c r="P186" s="875"/>
      <c r="S186" s="78"/>
    </row>
    <row r="187" spans="1:19">
      <c r="A187" s="1064">
        <f t="shared" si="38"/>
        <v>173</v>
      </c>
      <c r="B187" s="416">
        <v>39901</v>
      </c>
      <c r="C187" s="247" t="s">
        <v>489</v>
      </c>
      <c r="D187" s="417">
        <f>'[3]Gross Plant'!$AF21</f>
        <v>31842094.962347671</v>
      </c>
      <c r="E187" s="815">
        <v>0</v>
      </c>
      <c r="F187" s="581">
        <f t="shared" si="46"/>
        <v>31842094.962347671</v>
      </c>
      <c r="G187" s="625">
        <f t="shared" si="51"/>
        <v>0.1071</v>
      </c>
      <c r="H187" s="625">
        <f t="shared" si="52"/>
        <v>0.49090457251500325</v>
      </c>
      <c r="I187" s="581">
        <f t="shared" si="47"/>
        <v>1674126.1546572035</v>
      </c>
      <c r="J187" s="106"/>
      <c r="K187" s="417">
        <f>'[3]Gross Plant'!$D21</f>
        <v>31428353.89844358</v>
      </c>
      <c r="L187" s="558">
        <f t="shared" si="48"/>
        <v>0.1071</v>
      </c>
      <c r="M187" s="558">
        <f t="shared" si="49"/>
        <v>0.49090457251500325</v>
      </c>
      <c r="N187" s="394">
        <f t="shared" si="50"/>
        <v>1652373.3542476646</v>
      </c>
      <c r="P187" s="875"/>
      <c r="S187" s="78"/>
    </row>
    <row r="188" spans="1:19">
      <c r="A188" s="1064">
        <f t="shared" si="38"/>
        <v>174</v>
      </c>
      <c r="B188" s="416">
        <v>39902</v>
      </c>
      <c r="C188" s="247" t="s">
        <v>979</v>
      </c>
      <c r="D188" s="417">
        <f>'[3]Gross Plant'!$AF22</f>
        <v>20146620.69294475</v>
      </c>
      <c r="E188" s="815">
        <v>0</v>
      </c>
      <c r="F188" s="581">
        <f t="shared" si="46"/>
        <v>20146620.69294475</v>
      </c>
      <c r="G188" s="625">
        <f t="shared" si="51"/>
        <v>0.1071</v>
      </c>
      <c r="H188" s="625">
        <f t="shared" si="52"/>
        <v>0.49090457251500325</v>
      </c>
      <c r="I188" s="581">
        <f t="shared" si="47"/>
        <v>1059226.3062433291</v>
      </c>
      <c r="J188" s="106"/>
      <c r="K188" s="417">
        <f>'[3]Gross Plant'!$D22</f>
        <v>19267874.059563026</v>
      </c>
      <c r="L188" s="558">
        <f t="shared" si="48"/>
        <v>0.1071</v>
      </c>
      <c r="M188" s="558">
        <f t="shared" si="49"/>
        <v>0.49090457251500325</v>
      </c>
      <c r="N188" s="394">
        <f t="shared" si="50"/>
        <v>1013025.428945498</v>
      </c>
      <c r="P188" s="875"/>
      <c r="S188" s="78"/>
    </row>
    <row r="189" spans="1:19">
      <c r="A189" s="1064">
        <f t="shared" si="38"/>
        <v>175</v>
      </c>
      <c r="B189" s="416">
        <v>39903</v>
      </c>
      <c r="C189" s="247" t="s">
        <v>1022</v>
      </c>
      <c r="D189" s="417">
        <f>'[3]Gross Plant'!$AF23</f>
        <v>3450752.7849822449</v>
      </c>
      <c r="E189" s="815">
        <v>0</v>
      </c>
      <c r="F189" s="581">
        <f t="shared" si="46"/>
        <v>3450752.7849822449</v>
      </c>
      <c r="G189" s="625">
        <f t="shared" ref="G189:G196" si="53">$G$173</f>
        <v>0.1071</v>
      </c>
      <c r="H189" s="625">
        <f t="shared" si="52"/>
        <v>0.49090457251500325</v>
      </c>
      <c r="I189" s="581">
        <f t="shared" si="47"/>
        <v>181426.3633541099</v>
      </c>
      <c r="J189" s="106"/>
      <c r="K189" s="417">
        <f>'[3]Gross Plant'!$D23</f>
        <v>3397429.4784985431</v>
      </c>
      <c r="L189" s="558">
        <f t="shared" si="48"/>
        <v>0.1071</v>
      </c>
      <c r="M189" s="558">
        <f t="shared" si="49"/>
        <v>0.49090457251500325</v>
      </c>
      <c r="N189" s="394">
        <f t="shared" si="50"/>
        <v>178622.84360634437</v>
      </c>
      <c r="P189" s="875"/>
      <c r="S189" s="78"/>
    </row>
    <row r="190" spans="1:19">
      <c r="A190" s="1064">
        <f t="shared" si="38"/>
        <v>176</v>
      </c>
      <c r="B190" s="416">
        <v>39904</v>
      </c>
      <c r="C190" s="247" t="s">
        <v>1198</v>
      </c>
      <c r="D190" s="417">
        <f>'[3]Gross Plant'!$AF24</f>
        <v>0</v>
      </c>
      <c r="E190" s="815">
        <v>0</v>
      </c>
      <c r="F190" s="581">
        <f t="shared" si="46"/>
        <v>0</v>
      </c>
      <c r="G190" s="625">
        <f t="shared" si="53"/>
        <v>0.1071</v>
      </c>
      <c r="H190" s="625">
        <f t="shared" si="52"/>
        <v>0.49090457251500325</v>
      </c>
      <c r="I190" s="581">
        <f t="shared" si="47"/>
        <v>0</v>
      </c>
      <c r="J190" s="106"/>
      <c r="K190" s="417">
        <f>'[3]Gross Plant'!$D24</f>
        <v>0</v>
      </c>
      <c r="L190" s="558">
        <f t="shared" si="48"/>
        <v>0.1071</v>
      </c>
      <c r="M190" s="558">
        <f t="shared" si="49"/>
        <v>0.49090457251500325</v>
      </c>
      <c r="N190" s="394">
        <f t="shared" si="50"/>
        <v>0</v>
      </c>
      <c r="P190" s="875"/>
      <c r="S190" s="78"/>
    </row>
    <row r="191" spans="1:19">
      <c r="A191" s="1064">
        <f t="shared" si="38"/>
        <v>177</v>
      </c>
      <c r="B191" s="416">
        <v>39905</v>
      </c>
      <c r="C191" s="247" t="s">
        <v>512</v>
      </c>
      <c r="D191" s="417">
        <f>'[3]Gross Plant'!$AF25</f>
        <v>0</v>
      </c>
      <c r="E191" s="815">
        <v>0</v>
      </c>
      <c r="F191" s="581">
        <f t="shared" si="46"/>
        <v>0</v>
      </c>
      <c r="G191" s="625">
        <f t="shared" si="53"/>
        <v>0.1071</v>
      </c>
      <c r="H191" s="625">
        <f t="shared" si="52"/>
        <v>0.49090457251500325</v>
      </c>
      <c r="I191" s="581">
        <f t="shared" si="47"/>
        <v>0</v>
      </c>
      <c r="J191" s="106"/>
      <c r="K191" s="417">
        <f>'[3]Gross Plant'!$D25</f>
        <v>0</v>
      </c>
      <c r="L191" s="558">
        <f t="shared" si="48"/>
        <v>0.1071</v>
      </c>
      <c r="M191" s="558">
        <f t="shared" si="49"/>
        <v>0.49090457251500325</v>
      </c>
      <c r="N191" s="394">
        <f t="shared" si="50"/>
        <v>0</v>
      </c>
      <c r="P191" s="875"/>
      <c r="S191" s="78"/>
    </row>
    <row r="192" spans="1:19">
      <c r="A192" s="1064">
        <f t="shared" si="38"/>
        <v>178</v>
      </c>
      <c r="B192" s="416">
        <v>39906</v>
      </c>
      <c r="C192" s="247" t="s">
        <v>465</v>
      </c>
      <c r="D192" s="417">
        <f>'[3]Gross Plant'!$AF26</f>
        <v>2514271.6990705458</v>
      </c>
      <c r="E192" s="815">
        <v>0</v>
      </c>
      <c r="F192" s="581">
        <f t="shared" si="46"/>
        <v>2514271.6990705458</v>
      </c>
      <c r="G192" s="625">
        <f t="shared" si="53"/>
        <v>0.1071</v>
      </c>
      <c r="H192" s="625">
        <f t="shared" si="52"/>
        <v>0.49090457251500325</v>
      </c>
      <c r="I192" s="581">
        <f t="shared" si="47"/>
        <v>132190.0464245732</v>
      </c>
      <c r="J192" s="106"/>
      <c r="K192" s="417">
        <f>'[3]Gross Plant'!$D26</f>
        <v>2281438.9401675756</v>
      </c>
      <c r="L192" s="558">
        <f t="shared" si="48"/>
        <v>0.1071</v>
      </c>
      <c r="M192" s="558">
        <f t="shared" si="49"/>
        <v>0.49090457251500325</v>
      </c>
      <c r="N192" s="394">
        <f t="shared" si="50"/>
        <v>119948.65929846311</v>
      </c>
      <c r="P192" s="875"/>
      <c r="S192" s="78"/>
    </row>
    <row r="193" spans="1:19">
      <c r="A193" s="1064">
        <f t="shared" si="38"/>
        <v>179</v>
      </c>
      <c r="B193" s="416">
        <v>39907</v>
      </c>
      <c r="C193" s="247" t="s">
        <v>520</v>
      </c>
      <c r="D193" s="417">
        <f>'[3]Gross Plant'!$AF27</f>
        <v>686183.05969465547</v>
      </c>
      <c r="E193" s="815">
        <v>0</v>
      </c>
      <c r="F193" s="581">
        <f t="shared" si="46"/>
        <v>686183.05969465547</v>
      </c>
      <c r="G193" s="625">
        <f t="shared" si="53"/>
        <v>0.1071</v>
      </c>
      <c r="H193" s="625">
        <f t="shared" si="52"/>
        <v>0.49090457251500325</v>
      </c>
      <c r="I193" s="581">
        <f t="shared" si="47"/>
        <v>36076.678009907911</v>
      </c>
      <c r="J193" s="106"/>
      <c r="K193" s="417">
        <f>'[3]Gross Plant'!$D27</f>
        <v>686169.30568836792</v>
      </c>
      <c r="L193" s="558">
        <f t="shared" si="48"/>
        <v>0.1071</v>
      </c>
      <c r="M193" s="558">
        <f t="shared" si="49"/>
        <v>0.49090457251500325</v>
      </c>
      <c r="N193" s="394">
        <f t="shared" si="50"/>
        <v>36075.954880927726</v>
      </c>
      <c r="P193" s="875"/>
      <c r="S193" s="78"/>
    </row>
    <row r="194" spans="1:19">
      <c r="A194" s="1064">
        <f t="shared" si="38"/>
        <v>180</v>
      </c>
      <c r="B194" s="416">
        <v>39908</v>
      </c>
      <c r="C194" s="247" t="s">
        <v>184</v>
      </c>
      <c r="D194" s="417">
        <f>'[3]Gross Plant'!$AF28</f>
        <v>130731450.59427312</v>
      </c>
      <c r="E194" s="815">
        <v>0</v>
      </c>
      <c r="F194" s="581">
        <f t="shared" si="46"/>
        <v>130731450.59427312</v>
      </c>
      <c r="G194" s="625">
        <f t="shared" si="53"/>
        <v>0.1071</v>
      </c>
      <c r="H194" s="625">
        <f t="shared" si="52"/>
        <v>0.49090457251500325</v>
      </c>
      <c r="I194" s="581">
        <f t="shared" si="47"/>
        <v>6873321.0215893518</v>
      </c>
      <c r="J194" s="106"/>
      <c r="K194" s="417">
        <f>'[3]Gross Plant'!$D28</f>
        <v>122329769.43742448</v>
      </c>
      <c r="L194" s="558">
        <f t="shared" si="48"/>
        <v>0.1071</v>
      </c>
      <c r="M194" s="558">
        <f t="shared" si="49"/>
        <v>0.49090457251500325</v>
      </c>
      <c r="N194" s="394">
        <f t="shared" si="50"/>
        <v>6431595.2436716948</v>
      </c>
      <c r="P194" s="875"/>
      <c r="S194" s="78"/>
    </row>
    <row r="195" spans="1:19" s="1058" customFormat="1">
      <c r="A195" s="1064">
        <f t="shared" si="38"/>
        <v>181</v>
      </c>
      <c r="B195" s="416">
        <v>39909</v>
      </c>
      <c r="C195" s="247" t="s">
        <v>352</v>
      </c>
      <c r="D195" s="417">
        <f>'[3]Gross Plant'!$AF29</f>
        <v>982650.37</v>
      </c>
      <c r="E195" s="815">
        <v>0</v>
      </c>
      <c r="F195" s="581">
        <f t="shared" ref="F195:F196" si="54">D195+E195</f>
        <v>982650.37</v>
      </c>
      <c r="G195" s="625">
        <f t="shared" si="53"/>
        <v>0.1071</v>
      </c>
      <c r="H195" s="625">
        <f t="shared" si="52"/>
        <v>0.49090457251500325</v>
      </c>
      <c r="I195" s="581">
        <f t="shared" ref="I195:I196" si="55">F195*G195*H195</f>
        <v>51663.707656353545</v>
      </c>
      <c r="J195" s="106"/>
      <c r="K195" s="417">
        <f>'[3]Gross Plant'!$D29</f>
        <v>982650.36999999976</v>
      </c>
      <c r="L195" s="558">
        <f t="shared" ref="L195:L196" si="56">G195</f>
        <v>0.1071</v>
      </c>
      <c r="M195" s="558">
        <f t="shared" ref="M195:M196" si="57">H195</f>
        <v>0.49090457251500325</v>
      </c>
      <c r="N195" s="394">
        <f t="shared" ref="N195:N196" si="58">K195*L195*M195</f>
        <v>51663.707656353537</v>
      </c>
      <c r="P195" s="875"/>
      <c r="S195" s="78"/>
    </row>
    <row r="196" spans="1:19">
      <c r="A196" s="1064">
        <f t="shared" si="38"/>
        <v>182</v>
      </c>
      <c r="B196" s="416">
        <v>39924</v>
      </c>
      <c r="C196" s="247" t="s">
        <v>1456</v>
      </c>
      <c r="D196" s="417">
        <f>'[3]Gross Plant'!$AF30</f>
        <v>0</v>
      </c>
      <c r="E196" s="815">
        <v>0</v>
      </c>
      <c r="F196" s="581">
        <f t="shared" si="54"/>
        <v>0</v>
      </c>
      <c r="G196" s="625">
        <f t="shared" si="53"/>
        <v>0.1071</v>
      </c>
      <c r="H196" s="625">
        <f t="shared" si="52"/>
        <v>0.49090457251500325</v>
      </c>
      <c r="I196" s="581">
        <f t="shared" si="55"/>
        <v>0</v>
      </c>
      <c r="J196" s="106"/>
      <c r="K196" s="417">
        <f>'[3]Gross Plant'!$D30</f>
        <v>0</v>
      </c>
      <c r="L196" s="558">
        <f t="shared" si="56"/>
        <v>0.1071</v>
      </c>
      <c r="M196" s="558">
        <f t="shared" si="57"/>
        <v>0.49090457251500325</v>
      </c>
      <c r="N196" s="394">
        <f t="shared" si="58"/>
        <v>0</v>
      </c>
      <c r="P196" s="875"/>
      <c r="S196" s="78"/>
    </row>
    <row r="197" spans="1:19">
      <c r="A197" s="1064">
        <f t="shared" si="38"/>
        <v>183</v>
      </c>
      <c r="B197" s="1050"/>
      <c r="C197" s="1114"/>
      <c r="D197" s="812"/>
      <c r="E197" s="812"/>
      <c r="F197" s="812"/>
      <c r="G197" s="1131"/>
      <c r="H197" s="1131"/>
      <c r="I197" s="812"/>
      <c r="J197" s="106"/>
      <c r="K197" s="812"/>
      <c r="L197" s="776"/>
      <c r="M197" s="776"/>
      <c r="N197" s="789"/>
    </row>
    <row r="198" spans="1:19" ht="15.75" thickBot="1">
      <c r="A198" s="1064">
        <f t="shared" si="38"/>
        <v>184</v>
      </c>
      <c r="B198" s="405"/>
      <c r="C198" s="247" t="s">
        <v>1365</v>
      </c>
      <c r="D198" s="681">
        <f>SUM(D173:D196)</f>
        <v>228876513.31999999</v>
      </c>
      <c r="E198" s="681">
        <f>SUM(E173:E196)</f>
        <v>0</v>
      </c>
      <c r="F198" s="681">
        <f>SUM(F173:F196)</f>
        <v>228876513.31999999</v>
      </c>
      <c r="G198" s="1140"/>
      <c r="H198" s="1140"/>
      <c r="I198" s="681">
        <f>SUM(I173:I196)</f>
        <v>11689187.746018743</v>
      </c>
      <c r="J198" s="1085"/>
      <c r="K198" s="681">
        <f>SUM(K173:K196)</f>
        <v>217836628.55076921</v>
      </c>
      <c r="L198" s="91"/>
      <c r="M198" s="91"/>
      <c r="N198" s="681">
        <f>SUM(N173:N196)</f>
        <v>11108756.092309223</v>
      </c>
      <c r="P198" s="1058"/>
      <c r="Q198" s="1058"/>
    </row>
    <row r="199" spans="1:19" ht="15.75" thickTop="1">
      <c r="A199" s="1064">
        <f t="shared" si="38"/>
        <v>185</v>
      </c>
      <c r="B199" s="424"/>
      <c r="C199" s="4"/>
      <c r="D199" s="417"/>
      <c r="E199" s="427"/>
      <c r="F199" s="427"/>
      <c r="G199" s="1131"/>
      <c r="H199" s="1131"/>
      <c r="I199" s="427"/>
      <c r="J199" s="106"/>
      <c r="K199" s="106"/>
    </row>
    <row r="200" spans="1:19">
      <c r="A200" s="1064">
        <f t="shared" si="38"/>
        <v>186</v>
      </c>
      <c r="B200" s="424"/>
      <c r="C200" s="107" t="s">
        <v>766</v>
      </c>
      <c r="D200" s="417">
        <v>11797200.060000002</v>
      </c>
      <c r="E200" s="427">
        <v>0</v>
      </c>
      <c r="F200" s="427">
        <f>D200+E200</f>
        <v>11797200.060000002</v>
      </c>
      <c r="G200" s="625">
        <f>$G$173</f>
        <v>0.1071</v>
      </c>
      <c r="H200" s="625">
        <f>$H$173</f>
        <v>0.49090457251500325</v>
      </c>
      <c r="I200" s="427">
        <f>F200*G200*H200</f>
        <v>620248.17134435789</v>
      </c>
      <c r="J200" s="106"/>
      <c r="K200" s="417">
        <v>11797200.060000002</v>
      </c>
      <c r="L200" s="558">
        <f>G200</f>
        <v>0.1071</v>
      </c>
      <c r="M200" s="558">
        <f>H200</f>
        <v>0.49090457251500325</v>
      </c>
      <c r="N200" s="423">
        <f>K200*L200*M200</f>
        <v>620248.17134435789</v>
      </c>
    </row>
    <row r="201" spans="1:19">
      <c r="A201" s="1064">
        <f t="shared" si="38"/>
        <v>187</v>
      </c>
      <c r="B201" s="424"/>
      <c r="D201" s="106"/>
      <c r="E201" s="106"/>
      <c r="F201" s="106"/>
      <c r="G201" s="1131"/>
      <c r="H201" s="1131"/>
      <c r="I201" s="106"/>
      <c r="J201" s="106"/>
      <c r="K201" s="106"/>
    </row>
    <row r="202" spans="1:19" ht="15.75">
      <c r="A202" s="1064">
        <f t="shared" si="38"/>
        <v>188</v>
      </c>
      <c r="B202" s="419" t="s">
        <v>9</v>
      </c>
      <c r="D202" s="106"/>
      <c r="E202" s="106"/>
      <c r="F202" s="106"/>
      <c r="G202" s="1131"/>
      <c r="H202" s="1131"/>
      <c r="I202" s="106"/>
      <c r="J202" s="106"/>
      <c r="K202" s="106"/>
    </row>
    <row r="203" spans="1:19">
      <c r="A203" s="1064">
        <f t="shared" si="38"/>
        <v>189</v>
      </c>
      <c r="B203" s="424"/>
      <c r="D203" s="106"/>
      <c r="E203" s="106"/>
      <c r="F203" s="106"/>
      <c r="G203" s="1131"/>
      <c r="H203" s="1131"/>
      <c r="I203" s="106"/>
      <c r="J203" s="106"/>
      <c r="K203" s="106"/>
    </row>
    <row r="204" spans="1:19">
      <c r="A204" s="1064">
        <f t="shared" si="38"/>
        <v>190</v>
      </c>
      <c r="B204" s="405"/>
      <c r="C204" s="813" t="s">
        <v>309</v>
      </c>
      <c r="D204" s="106"/>
      <c r="E204" s="106"/>
      <c r="F204" s="106"/>
      <c r="G204" s="1131"/>
      <c r="H204" s="1131"/>
      <c r="I204" s="106"/>
      <c r="J204" s="106"/>
      <c r="K204" s="106"/>
    </row>
    <row r="205" spans="1:19">
      <c r="A205" s="1064">
        <f t="shared" si="38"/>
        <v>191</v>
      </c>
      <c r="B205" s="416">
        <v>38900</v>
      </c>
      <c r="C205" s="311" t="s">
        <v>300</v>
      </c>
      <c r="D205" s="417">
        <f>'[3]Gross Plant'!$AF36</f>
        <v>2874239.86</v>
      </c>
      <c r="E205" s="448">
        <v>0</v>
      </c>
      <c r="F205" s="448">
        <f t="shared" ref="F205:F221" si="59">D205+E205</f>
        <v>2874239.86</v>
      </c>
      <c r="G205" s="625">
        <f>Allocation!$C$15</f>
        <v>0.1086</v>
      </c>
      <c r="H205" s="625">
        <f>Allocation!$D$15</f>
        <v>0.52599015110063552</v>
      </c>
      <c r="I205" s="448">
        <f t="shared" ref="I205:I221" si="60">F205*G205*H205</f>
        <v>164183.85380713042</v>
      </c>
      <c r="J205" s="106"/>
      <c r="K205" s="417">
        <f>'[3]Gross Plant'!$D36</f>
        <v>2874239.86</v>
      </c>
      <c r="L205" s="558">
        <f t="shared" ref="L205:L221" si="61">G205</f>
        <v>0.1086</v>
      </c>
      <c r="M205" s="558">
        <f t="shared" ref="M205:M221" si="62">H205</f>
        <v>0.52599015110063552</v>
      </c>
      <c r="N205" s="385">
        <f t="shared" ref="N205:N221" si="63">K205*L205*M205</f>
        <v>164183.85380713042</v>
      </c>
      <c r="P205" s="875"/>
      <c r="S205" s="78"/>
    </row>
    <row r="206" spans="1:19">
      <c r="A206" s="1064">
        <f t="shared" si="38"/>
        <v>192</v>
      </c>
      <c r="B206" s="416">
        <v>38910</v>
      </c>
      <c r="C206" s="311" t="s">
        <v>1220</v>
      </c>
      <c r="D206" s="417">
        <f>'[3]Gross Plant'!$AF37</f>
        <v>1887122.88</v>
      </c>
      <c r="E206" s="581">
        <v>0</v>
      </c>
      <c r="F206" s="816">
        <f>D206+E206</f>
        <v>1887122.88</v>
      </c>
      <c r="G206" s="625">
        <v>1</v>
      </c>
      <c r="H206" s="625">
        <f>Allocation!$E$21</f>
        <v>1.083947E-2</v>
      </c>
      <c r="I206" s="581">
        <f>F206*G206*H206</f>
        <v>20455.411844073598</v>
      </c>
      <c r="J206" s="106"/>
      <c r="K206" s="417">
        <f>'[3]Gross Plant'!$D37</f>
        <v>1887122.8799999992</v>
      </c>
      <c r="L206" s="558">
        <f>G206</f>
        <v>1</v>
      </c>
      <c r="M206" s="558">
        <f>H206</f>
        <v>1.083947E-2</v>
      </c>
      <c r="N206" s="394">
        <f>K206*L206*M206</f>
        <v>20455.411844073591</v>
      </c>
      <c r="P206" s="875"/>
      <c r="S206" s="78"/>
    </row>
    <row r="207" spans="1:19">
      <c r="A207" s="1064">
        <f t="shared" si="38"/>
        <v>193</v>
      </c>
      <c r="B207" s="416">
        <v>39000</v>
      </c>
      <c r="C207" s="311" t="s">
        <v>874</v>
      </c>
      <c r="D207" s="417">
        <f>'[3]Gross Plant'!$AF38</f>
        <v>12698439.4690757</v>
      </c>
      <c r="E207" s="581">
        <v>0</v>
      </c>
      <c r="F207" s="816">
        <f t="shared" si="59"/>
        <v>12698439.4690757</v>
      </c>
      <c r="G207" s="625">
        <f>$G$205</f>
        <v>0.1086</v>
      </c>
      <c r="H207" s="625">
        <f>$H$205</f>
        <v>0.52599015110063552</v>
      </c>
      <c r="I207" s="581">
        <f t="shared" si="60"/>
        <v>725366.99472584017</v>
      </c>
      <c r="J207" s="106"/>
      <c r="K207" s="417">
        <f>'[3]Gross Plant'!$D38</f>
        <v>12687449.523639288</v>
      </c>
      <c r="L207" s="558">
        <f t="shared" si="61"/>
        <v>0.1086</v>
      </c>
      <c r="M207" s="558">
        <f t="shared" si="62"/>
        <v>0.52599015110063552</v>
      </c>
      <c r="N207" s="394">
        <f t="shared" si="63"/>
        <v>724739.22123344964</v>
      </c>
      <c r="P207" s="875"/>
      <c r="S207" s="78"/>
    </row>
    <row r="208" spans="1:19">
      <c r="A208" s="1064">
        <f t="shared" si="38"/>
        <v>194</v>
      </c>
      <c r="B208" s="416">
        <v>39009</v>
      </c>
      <c r="C208" s="311" t="s">
        <v>1056</v>
      </c>
      <c r="D208" s="417">
        <f>'[3]Gross Plant'!$AF39</f>
        <v>4298434.33</v>
      </c>
      <c r="E208" s="581">
        <v>0</v>
      </c>
      <c r="F208" s="816">
        <f t="shared" si="59"/>
        <v>4298434.33</v>
      </c>
      <c r="G208" s="625">
        <f>$G$205</f>
        <v>0.1086</v>
      </c>
      <c r="H208" s="625">
        <f>$H$205</f>
        <v>0.52599015110063552</v>
      </c>
      <c r="I208" s="581">
        <f t="shared" si="60"/>
        <v>245537.4457287885</v>
      </c>
      <c r="J208" s="106"/>
      <c r="K208" s="417">
        <f>'[3]Gross Plant'!$D39</f>
        <v>4298434.3299999991</v>
      </c>
      <c r="L208" s="558">
        <f t="shared" si="61"/>
        <v>0.1086</v>
      </c>
      <c r="M208" s="558">
        <f t="shared" si="62"/>
        <v>0.52599015110063552</v>
      </c>
      <c r="N208" s="394">
        <f t="shared" si="63"/>
        <v>245537.44572878844</v>
      </c>
      <c r="P208" s="875"/>
      <c r="S208" s="78"/>
    </row>
    <row r="209" spans="1:19">
      <c r="A209" s="1064">
        <f t="shared" ref="A209:A232" si="64">A208+1</f>
        <v>195</v>
      </c>
      <c r="B209" s="416">
        <v>39010</v>
      </c>
      <c r="C209" s="311" t="s">
        <v>1221</v>
      </c>
      <c r="D209" s="417">
        <f>'[3]Gross Plant'!$AF40</f>
        <v>10419806.710000001</v>
      </c>
      <c r="E209" s="581">
        <v>0</v>
      </c>
      <c r="F209" s="816">
        <f>D209+E209</f>
        <v>10419806.710000001</v>
      </c>
      <c r="G209" s="625">
        <v>1</v>
      </c>
      <c r="H209" s="625">
        <f>$H$206</f>
        <v>1.083947E-2</v>
      </c>
      <c r="I209" s="581">
        <f>F209*G209*H209</f>
        <v>112945.18223884371</v>
      </c>
      <c r="J209" s="106"/>
      <c r="K209" s="417">
        <f>'[3]Gross Plant'!$D40</f>
        <v>10419806.710000005</v>
      </c>
      <c r="L209" s="558">
        <f>G209</f>
        <v>1</v>
      </c>
      <c r="M209" s="558">
        <f>H209</f>
        <v>1.083947E-2</v>
      </c>
      <c r="N209" s="394">
        <f>K209*L209*M209</f>
        <v>112945.18223884376</v>
      </c>
      <c r="P209" s="875"/>
      <c r="S209" s="78"/>
    </row>
    <row r="210" spans="1:19">
      <c r="A210" s="1064">
        <f t="shared" si="64"/>
        <v>196</v>
      </c>
      <c r="B210" s="416">
        <v>39100</v>
      </c>
      <c r="C210" s="311" t="s">
        <v>796</v>
      </c>
      <c r="D210" s="417">
        <f>'[3]Gross Plant'!$AF41</f>
        <v>2288545.5170168928</v>
      </c>
      <c r="E210" s="581">
        <v>0</v>
      </c>
      <c r="F210" s="816">
        <f t="shared" si="59"/>
        <v>2288545.5170168928</v>
      </c>
      <c r="G210" s="625">
        <f>$G$205</f>
        <v>0.1086</v>
      </c>
      <c r="H210" s="625">
        <f>$H$205</f>
        <v>0.52599015110063552</v>
      </c>
      <c r="I210" s="581">
        <f t="shared" si="60"/>
        <v>130727.51088938877</v>
      </c>
      <c r="J210" s="106"/>
      <c r="K210" s="417">
        <f>'[3]Gross Plant'!$D41</f>
        <v>2297631.7918512486</v>
      </c>
      <c r="L210" s="558">
        <f t="shared" si="61"/>
        <v>0.1086</v>
      </c>
      <c r="M210" s="558">
        <f t="shared" si="62"/>
        <v>0.52599015110063552</v>
      </c>
      <c r="N210" s="394">
        <f t="shared" si="63"/>
        <v>131246.54189992358</v>
      </c>
      <c r="P210" s="875"/>
      <c r="S210" s="78"/>
    </row>
    <row r="211" spans="1:19">
      <c r="A211" s="1064">
        <f t="shared" si="64"/>
        <v>197</v>
      </c>
      <c r="B211" s="416">
        <v>39103</v>
      </c>
      <c r="C211" s="311" t="s">
        <v>1367</v>
      </c>
      <c r="D211" s="417">
        <f>'[3]Gross Plant'!$AF42</f>
        <v>-13549.797244243517</v>
      </c>
      <c r="E211" s="581">
        <v>0</v>
      </c>
      <c r="F211" s="816">
        <f t="shared" ref="F211" si="65">D211+E211</f>
        <v>-13549.797244243517</v>
      </c>
      <c r="G211" s="625">
        <f>$G$205</f>
        <v>0.1086</v>
      </c>
      <c r="H211" s="625">
        <f>$H$205</f>
        <v>0.52599015110063552</v>
      </c>
      <c r="I211" s="581">
        <f t="shared" ref="I211" si="66">F211*G211*H211</f>
        <v>-773.99870512725283</v>
      </c>
      <c r="J211" s="106"/>
      <c r="K211" s="417">
        <f>'[3]Gross Plant'!$D42</f>
        <v>-9954.8540198717383</v>
      </c>
      <c r="L211" s="558">
        <f t="shared" ref="L211" si="67">G211</f>
        <v>0.1086</v>
      </c>
      <c r="M211" s="558">
        <f t="shared" ref="M211" si="68">H211</f>
        <v>0.52599015110063552</v>
      </c>
      <c r="N211" s="394">
        <f t="shared" ref="N211" si="69">K211*L211*M211</f>
        <v>-568.64645147254555</v>
      </c>
      <c r="P211" s="875"/>
      <c r="S211" s="78"/>
    </row>
    <row r="212" spans="1:19">
      <c r="A212" s="1064">
        <f t="shared" si="64"/>
        <v>198</v>
      </c>
      <c r="B212" s="416">
        <v>39700</v>
      </c>
      <c r="C212" s="311" t="s">
        <v>454</v>
      </c>
      <c r="D212" s="417">
        <f>'[3]Gross Plant'!$AF43</f>
        <v>1962784.81</v>
      </c>
      <c r="E212" s="581">
        <v>0</v>
      </c>
      <c r="F212" s="816">
        <f t="shared" si="59"/>
        <v>1962784.81</v>
      </c>
      <c r="G212" s="625">
        <f>$G$205</f>
        <v>0.1086</v>
      </c>
      <c r="H212" s="625">
        <f>$H$205</f>
        <v>0.52599015110063552</v>
      </c>
      <c r="I212" s="581">
        <f t="shared" si="60"/>
        <v>112119.23499658665</v>
      </c>
      <c r="J212" s="106"/>
      <c r="K212" s="417">
        <f>'[3]Gross Plant'!$D43</f>
        <v>1962784.8099999998</v>
      </c>
      <c r="L212" s="558">
        <f t="shared" si="61"/>
        <v>0.1086</v>
      </c>
      <c r="M212" s="558">
        <f t="shared" si="62"/>
        <v>0.52599015110063552</v>
      </c>
      <c r="N212" s="394">
        <f t="shared" si="63"/>
        <v>112119.23499658663</v>
      </c>
      <c r="P212" s="875"/>
      <c r="S212" s="78"/>
    </row>
    <row r="213" spans="1:19">
      <c r="A213" s="1064">
        <f t="shared" si="64"/>
        <v>199</v>
      </c>
      <c r="B213" s="416">
        <v>39710</v>
      </c>
      <c r="C213" s="311" t="s">
        <v>1222</v>
      </c>
      <c r="D213" s="417">
        <f>'[3]Gross Plant'!$AF44</f>
        <v>271621.21999999997</v>
      </c>
      <c r="E213" s="581">
        <v>0</v>
      </c>
      <c r="F213" s="816">
        <f>D213+E213</f>
        <v>271621.21999999997</v>
      </c>
      <c r="G213" s="625">
        <v>1</v>
      </c>
      <c r="H213" s="625">
        <f>$H$206</f>
        <v>1.083947E-2</v>
      </c>
      <c r="I213" s="581">
        <f>F213*G213*H213</f>
        <v>2944.2300655534</v>
      </c>
      <c r="J213" s="106"/>
      <c r="K213" s="417">
        <f>'[3]Gross Plant'!$D44</f>
        <v>271621.21999999986</v>
      </c>
      <c r="L213" s="558">
        <f>G213</f>
        <v>1</v>
      </c>
      <c r="M213" s="558">
        <f>H213</f>
        <v>1.083947E-2</v>
      </c>
      <c r="N213" s="394">
        <f>K213*L213*M213</f>
        <v>2944.2300655533986</v>
      </c>
      <c r="P213" s="875"/>
      <c r="S213" s="78"/>
    </row>
    <row r="214" spans="1:19">
      <c r="A214" s="1064">
        <f t="shared" si="64"/>
        <v>200</v>
      </c>
      <c r="B214" s="416">
        <v>39800</v>
      </c>
      <c r="C214" s="311" t="s">
        <v>666</v>
      </c>
      <c r="D214" s="417">
        <f>'[3]Gross Plant'!$AF45</f>
        <v>69110.818467674471</v>
      </c>
      <c r="E214" s="581">
        <v>0</v>
      </c>
      <c r="F214" s="816">
        <f t="shared" si="59"/>
        <v>69110.818467674471</v>
      </c>
      <c r="G214" s="625">
        <f t="shared" ref="G214:G221" si="70">$G$205</f>
        <v>0.1086</v>
      </c>
      <c r="H214" s="625">
        <f t="shared" ref="H214:H221" si="71">$H$205</f>
        <v>0.52599015110063552</v>
      </c>
      <c r="I214" s="581">
        <f t="shared" si="60"/>
        <v>3947.7848295471745</v>
      </c>
      <c r="J214" s="106"/>
      <c r="K214" s="417">
        <f>'[3]Gross Plant'!$D45</f>
        <v>60843.243716844969</v>
      </c>
      <c r="L214" s="558">
        <f t="shared" si="61"/>
        <v>0.1086</v>
      </c>
      <c r="M214" s="558">
        <f t="shared" si="62"/>
        <v>0.52599015110063552</v>
      </c>
      <c r="N214" s="394">
        <f t="shared" si="63"/>
        <v>3475.5200394298622</v>
      </c>
      <c r="P214" s="875"/>
      <c r="S214" s="78"/>
    </row>
    <row r="215" spans="1:19">
      <c r="A215" s="1064">
        <f t="shared" si="64"/>
        <v>201</v>
      </c>
      <c r="B215" s="416">
        <v>39900</v>
      </c>
      <c r="C215" s="311" t="s">
        <v>1173</v>
      </c>
      <c r="D215" s="417">
        <f>'[3]Gross Plant'!$AF46</f>
        <v>629166.46</v>
      </c>
      <c r="E215" s="581">
        <v>0</v>
      </c>
      <c r="F215" s="816">
        <f t="shared" si="59"/>
        <v>629166.46</v>
      </c>
      <c r="G215" s="625">
        <f t="shared" si="70"/>
        <v>0.1086</v>
      </c>
      <c r="H215" s="625">
        <f t="shared" si="71"/>
        <v>0.52599015110063552</v>
      </c>
      <c r="I215" s="581">
        <f t="shared" si="60"/>
        <v>35939.580244005723</v>
      </c>
      <c r="J215" s="106"/>
      <c r="K215" s="417">
        <f>'[3]Gross Plant'!$D46</f>
        <v>629166.46</v>
      </c>
      <c r="L215" s="558">
        <f t="shared" si="61"/>
        <v>0.1086</v>
      </c>
      <c r="M215" s="558">
        <f t="shared" si="62"/>
        <v>0.52599015110063552</v>
      </c>
      <c r="N215" s="394">
        <f t="shared" si="63"/>
        <v>35939.580244005723</v>
      </c>
      <c r="P215" s="875"/>
      <c r="S215" s="78"/>
    </row>
    <row r="216" spans="1:19">
      <c r="A216" s="1064">
        <f t="shared" si="64"/>
        <v>202</v>
      </c>
      <c r="B216" s="416">
        <v>39901</v>
      </c>
      <c r="C216" s="311" t="s">
        <v>489</v>
      </c>
      <c r="D216" s="417">
        <f>'[3]Gross Plant'!$AF47</f>
        <v>8281717.1985645117</v>
      </c>
      <c r="E216" s="581">
        <v>0</v>
      </c>
      <c r="F216" s="816">
        <f t="shared" si="59"/>
        <v>8281717.1985645117</v>
      </c>
      <c r="G216" s="625">
        <f t="shared" si="70"/>
        <v>0.1086</v>
      </c>
      <c r="H216" s="625">
        <f t="shared" si="71"/>
        <v>0.52599015110063552</v>
      </c>
      <c r="I216" s="581">
        <f t="shared" si="60"/>
        <v>473072.64251812082</v>
      </c>
      <c r="J216" s="106"/>
      <c r="K216" s="417">
        <f>'[3]Gross Plant'!$D47</f>
        <v>8208828.9182867846</v>
      </c>
      <c r="L216" s="558">
        <f t="shared" si="61"/>
        <v>0.1086</v>
      </c>
      <c r="M216" s="558">
        <f t="shared" si="62"/>
        <v>0.52599015110063552</v>
      </c>
      <c r="N216" s="394">
        <f t="shared" si="63"/>
        <v>468909.07951145805</v>
      </c>
      <c r="P216" s="875"/>
      <c r="S216" s="78"/>
    </row>
    <row r="217" spans="1:19">
      <c r="A217" s="1064">
        <f t="shared" si="64"/>
        <v>203</v>
      </c>
      <c r="B217" s="416">
        <v>39902</v>
      </c>
      <c r="C217" s="311" t="s">
        <v>979</v>
      </c>
      <c r="D217" s="417">
        <f>'[3]Gross Plant'!$AF48</f>
        <v>1848495.8237540489</v>
      </c>
      <c r="E217" s="581">
        <v>0</v>
      </c>
      <c r="F217" s="816">
        <f t="shared" si="59"/>
        <v>1848495.8237540489</v>
      </c>
      <c r="G217" s="625">
        <f t="shared" si="70"/>
        <v>0.1086</v>
      </c>
      <c r="H217" s="625">
        <f t="shared" si="71"/>
        <v>0.52599015110063552</v>
      </c>
      <c r="I217" s="581">
        <f t="shared" si="60"/>
        <v>105590.75890427805</v>
      </c>
      <c r="J217" s="106"/>
      <c r="K217" s="417">
        <f>'[3]Gross Plant'!$D48</f>
        <v>1835797.7467441035</v>
      </c>
      <c r="L217" s="558">
        <f t="shared" si="61"/>
        <v>0.1086</v>
      </c>
      <c r="M217" s="558">
        <f t="shared" si="62"/>
        <v>0.52599015110063552</v>
      </c>
      <c r="N217" s="394">
        <f t="shared" si="63"/>
        <v>104865.4126141349</v>
      </c>
      <c r="P217" s="875"/>
      <c r="S217" s="78"/>
    </row>
    <row r="218" spans="1:19">
      <c r="A218" s="1064">
        <f t="shared" si="64"/>
        <v>204</v>
      </c>
      <c r="B218" s="416">
        <v>39903</v>
      </c>
      <c r="C218" s="311" t="s">
        <v>1022</v>
      </c>
      <c r="D218" s="417">
        <f>'[3]Gross Plant'!$AF49</f>
        <v>666530.91470913903</v>
      </c>
      <c r="E218" s="581">
        <v>0</v>
      </c>
      <c r="F218" s="816">
        <f t="shared" si="59"/>
        <v>666530.91470913903</v>
      </c>
      <c r="G218" s="625">
        <f t="shared" si="70"/>
        <v>0.1086</v>
      </c>
      <c r="H218" s="625">
        <f t="shared" si="71"/>
        <v>0.52599015110063552</v>
      </c>
      <c r="I218" s="581">
        <f t="shared" si="60"/>
        <v>38073.932444363993</v>
      </c>
      <c r="J218" s="106"/>
      <c r="K218" s="417">
        <f>'[3]Gross Plant'!$D49</f>
        <v>631388.4353238733</v>
      </c>
      <c r="L218" s="558">
        <f t="shared" si="61"/>
        <v>0.1086</v>
      </c>
      <c r="M218" s="558">
        <f t="shared" si="62"/>
        <v>0.52599015110063552</v>
      </c>
      <c r="N218" s="394">
        <f t="shared" si="63"/>
        <v>36066.505097012894</v>
      </c>
      <c r="P218" s="875"/>
      <c r="S218" s="78"/>
    </row>
    <row r="219" spans="1:19">
      <c r="A219" s="1064">
        <f t="shared" si="64"/>
        <v>205</v>
      </c>
      <c r="B219" s="416">
        <v>39906</v>
      </c>
      <c r="C219" s="311" t="s">
        <v>465</v>
      </c>
      <c r="D219" s="417">
        <f>'[3]Gross Plant'!$AF50</f>
        <v>1048977.0803882433</v>
      </c>
      <c r="E219" s="581">
        <v>0</v>
      </c>
      <c r="F219" s="816">
        <f t="shared" si="59"/>
        <v>1048977.0803882433</v>
      </c>
      <c r="G219" s="625">
        <f t="shared" si="70"/>
        <v>0.1086</v>
      </c>
      <c r="H219" s="625">
        <f t="shared" si="71"/>
        <v>0.52599015110063552</v>
      </c>
      <c r="I219" s="581">
        <f t="shared" si="60"/>
        <v>59920.225173376391</v>
      </c>
      <c r="J219" s="106"/>
      <c r="K219" s="417">
        <f>'[3]Gross Plant'!$D50</f>
        <v>1011478.1306869262</v>
      </c>
      <c r="L219" s="558">
        <f t="shared" si="61"/>
        <v>0.1086</v>
      </c>
      <c r="M219" s="558">
        <f t="shared" si="62"/>
        <v>0.52599015110063552</v>
      </c>
      <c r="N219" s="394">
        <f t="shared" si="63"/>
        <v>57778.190278737507</v>
      </c>
      <c r="P219" s="875"/>
      <c r="S219" s="78"/>
    </row>
    <row r="220" spans="1:19">
      <c r="A220" s="1064">
        <f t="shared" si="64"/>
        <v>206</v>
      </c>
      <c r="B220" s="416">
        <v>39907</v>
      </c>
      <c r="C220" s="311" t="s">
        <v>520</v>
      </c>
      <c r="D220" s="417">
        <f>'[3]Gross Plant'!$AF51</f>
        <v>188781.61</v>
      </c>
      <c r="E220" s="581">
        <v>0</v>
      </c>
      <c r="F220" s="816">
        <f t="shared" si="59"/>
        <v>188781.61</v>
      </c>
      <c r="G220" s="625">
        <f t="shared" si="70"/>
        <v>0.1086</v>
      </c>
      <c r="H220" s="625">
        <f t="shared" si="71"/>
        <v>0.52599015110063552</v>
      </c>
      <c r="I220" s="581">
        <f t="shared" si="60"/>
        <v>10783.683257984847</v>
      </c>
      <c r="J220" s="106"/>
      <c r="K220" s="417">
        <f>'[3]Gross Plant'!$D51</f>
        <v>188781.60999999993</v>
      </c>
      <c r="L220" s="558">
        <f t="shared" si="61"/>
        <v>0.1086</v>
      </c>
      <c r="M220" s="558">
        <f t="shared" si="62"/>
        <v>0.52599015110063552</v>
      </c>
      <c r="N220" s="394">
        <f t="shared" si="63"/>
        <v>10783.683257984843</v>
      </c>
      <c r="P220" s="875"/>
      <c r="S220" s="78"/>
    </row>
    <row r="221" spans="1:19">
      <c r="A221" s="1064">
        <f t="shared" si="64"/>
        <v>207</v>
      </c>
      <c r="B221" s="416">
        <v>39908</v>
      </c>
      <c r="C221" s="311" t="s">
        <v>184</v>
      </c>
      <c r="D221" s="417">
        <f>'[3]Gross Plant'!$AF52</f>
        <v>114358176.64526801</v>
      </c>
      <c r="E221" s="581">
        <v>0</v>
      </c>
      <c r="F221" s="816">
        <f t="shared" si="59"/>
        <v>114358176.64526801</v>
      </c>
      <c r="G221" s="625">
        <f t="shared" si="70"/>
        <v>0.1086</v>
      </c>
      <c r="H221" s="625">
        <f t="shared" si="71"/>
        <v>0.52599015110063552</v>
      </c>
      <c r="I221" s="581">
        <f t="shared" si="60"/>
        <v>6532428.4229976125</v>
      </c>
      <c r="J221" s="106"/>
      <c r="K221" s="417">
        <f>'[3]Gross Plant'!$D52</f>
        <v>112589378.73377079</v>
      </c>
      <c r="L221" s="558">
        <f t="shared" si="61"/>
        <v>0.1086</v>
      </c>
      <c r="M221" s="558">
        <f t="shared" si="62"/>
        <v>0.52599015110063552</v>
      </c>
      <c r="N221" s="394">
        <f t="shared" si="63"/>
        <v>6431390.2105098013</v>
      </c>
      <c r="P221" s="875"/>
      <c r="S221" s="78"/>
    </row>
    <row r="222" spans="1:19">
      <c r="A222" s="1064">
        <f t="shared" si="64"/>
        <v>208</v>
      </c>
      <c r="B222" s="416">
        <v>39910</v>
      </c>
      <c r="C222" s="311" t="s">
        <v>1223</v>
      </c>
      <c r="D222" s="417">
        <f>'[3]Gross Plant'!$AF53</f>
        <v>91992.46</v>
      </c>
      <c r="E222" s="581">
        <v>0</v>
      </c>
      <c r="F222" s="816">
        <f>D222+E222</f>
        <v>91992.46</v>
      </c>
      <c r="G222" s="625">
        <v>1</v>
      </c>
      <c r="H222" s="625">
        <f>$H$206</f>
        <v>1.083947E-2</v>
      </c>
      <c r="I222" s="581">
        <f>F222*G222*H222</f>
        <v>997.14951039620007</v>
      </c>
      <c r="J222" s="106"/>
      <c r="K222" s="417">
        <f>'[3]Gross Plant'!$D53</f>
        <v>91992.459999999977</v>
      </c>
      <c r="L222" s="558">
        <f t="shared" ref="L222:M224" si="72">G222</f>
        <v>1</v>
      </c>
      <c r="M222" s="558">
        <f t="shared" si="72"/>
        <v>1.083947E-2</v>
      </c>
      <c r="N222" s="394">
        <f>K222*L222*M222</f>
        <v>997.14951039619973</v>
      </c>
      <c r="P222" s="875"/>
      <c r="S222" s="78"/>
    </row>
    <row r="223" spans="1:19">
      <c r="A223" s="1064">
        <f t="shared" si="64"/>
        <v>209</v>
      </c>
      <c r="B223" s="416">
        <v>39916</v>
      </c>
      <c r="C223" s="106" t="s">
        <v>1224</v>
      </c>
      <c r="D223" s="417">
        <f>'[3]Gross Plant'!$AF54</f>
        <v>194015.41</v>
      </c>
      <c r="E223" s="581">
        <v>0</v>
      </c>
      <c r="F223" s="816">
        <f>D223+E223</f>
        <v>194015.41</v>
      </c>
      <c r="G223" s="625">
        <v>1</v>
      </c>
      <c r="H223" s="625">
        <f>$H$206</f>
        <v>1.083947E-2</v>
      </c>
      <c r="I223" s="581">
        <f>F223*G223*H223</f>
        <v>2103.0242162326999</v>
      </c>
      <c r="J223" s="106"/>
      <c r="K223" s="417">
        <f>'[3]Gross Plant'!$D54</f>
        <v>194015.41</v>
      </c>
      <c r="L223" s="558">
        <f t="shared" si="72"/>
        <v>1</v>
      </c>
      <c r="M223" s="558">
        <f t="shared" si="72"/>
        <v>1.083947E-2</v>
      </c>
      <c r="N223" s="394">
        <f>K223*L223*M223</f>
        <v>2103.0242162326999</v>
      </c>
      <c r="P223" s="875"/>
      <c r="S223" s="78"/>
    </row>
    <row r="224" spans="1:19">
      <c r="A224" s="1064">
        <f t="shared" si="64"/>
        <v>210</v>
      </c>
      <c r="B224" s="416">
        <v>39917</v>
      </c>
      <c r="C224" s="106" t="s">
        <v>1225</v>
      </c>
      <c r="D224" s="417">
        <f>'[3]Gross Plant'!$AF55</f>
        <v>90540.56</v>
      </c>
      <c r="E224" s="581">
        <v>0</v>
      </c>
      <c r="F224" s="816">
        <f>D224+E224</f>
        <v>90540.56</v>
      </c>
      <c r="G224" s="625">
        <v>1</v>
      </c>
      <c r="H224" s="625">
        <f>$H$206</f>
        <v>1.083947E-2</v>
      </c>
      <c r="I224" s="581">
        <f>F224*G224*H224</f>
        <v>981.41168390320001</v>
      </c>
      <c r="J224" s="106"/>
      <c r="K224" s="417">
        <f>'[3]Gross Plant'!$D55</f>
        <v>90540.560000000027</v>
      </c>
      <c r="L224" s="558">
        <f t="shared" si="72"/>
        <v>1</v>
      </c>
      <c r="M224" s="558">
        <f t="shared" si="72"/>
        <v>1.083947E-2</v>
      </c>
      <c r="N224" s="394">
        <f>K224*L224*M224</f>
        <v>981.41168390320036</v>
      </c>
      <c r="P224" s="875"/>
      <c r="S224" s="78"/>
    </row>
    <row r="225" spans="1:17">
      <c r="A225" s="1064">
        <f t="shared" si="64"/>
        <v>211</v>
      </c>
      <c r="B225" s="1"/>
      <c r="C225" s="247"/>
      <c r="D225" s="812"/>
      <c r="E225" s="812"/>
      <c r="F225" s="812"/>
      <c r="G225" s="1131"/>
      <c r="H225" s="1131"/>
      <c r="I225" s="812"/>
      <c r="J225" s="106"/>
      <c r="K225" s="812"/>
      <c r="L225" s="776"/>
      <c r="M225" s="776"/>
      <c r="N225" s="789"/>
    </row>
    <row r="226" spans="1:17" ht="15.75" thickBot="1">
      <c r="A226" s="1064">
        <f t="shared" si="64"/>
        <v>212</v>
      </c>
      <c r="B226" s="1"/>
      <c r="C226" s="247" t="s">
        <v>1366</v>
      </c>
      <c r="D226" s="681">
        <f>SUM(D205:D224)</f>
        <v>164154949.97999999</v>
      </c>
      <c r="E226" s="681">
        <f>SUM(E205:E224)</f>
        <v>0</v>
      </c>
      <c r="F226" s="681">
        <f>SUM(F205:F224)</f>
        <v>164154949.97999999</v>
      </c>
      <c r="G226" s="1140"/>
      <c r="H226" s="1140"/>
      <c r="I226" s="681">
        <f>SUM(I205:I224)</f>
        <v>8777344.4813709017</v>
      </c>
      <c r="J226" s="1085"/>
      <c r="K226" s="681">
        <f>SUM(K205:K224)</f>
        <v>162221347.97999999</v>
      </c>
      <c r="L226" s="91"/>
      <c r="M226" s="91"/>
      <c r="N226" s="420">
        <f>SUM(N205:N224)</f>
        <v>8666892.2423259746</v>
      </c>
      <c r="P226" s="1058"/>
      <c r="Q226" s="1058"/>
    </row>
    <row r="227" spans="1:17" ht="15.75" thickTop="1">
      <c r="A227" s="1064">
        <f t="shared" si="64"/>
        <v>213</v>
      </c>
      <c r="B227" s="1"/>
      <c r="C227" s="4"/>
      <c r="D227" s="427"/>
      <c r="E227" s="427"/>
      <c r="F227" s="427"/>
      <c r="G227" s="1131"/>
      <c r="H227" s="1131"/>
      <c r="I227" s="427"/>
      <c r="J227" s="106"/>
      <c r="K227" s="427"/>
      <c r="N227" s="423"/>
    </row>
    <row r="228" spans="1:17">
      <c r="A228" s="1064">
        <f t="shared" si="64"/>
        <v>214</v>
      </c>
      <c r="B228" s="1"/>
      <c r="C228" s="107" t="s">
        <v>766</v>
      </c>
      <c r="D228" s="417">
        <v>1297739.2400000002</v>
      </c>
      <c r="E228" s="427">
        <v>0</v>
      </c>
      <c r="F228" s="427">
        <f>D228+E228</f>
        <v>1297739.2400000002</v>
      </c>
      <c r="G228" s="625">
        <f>$G$205</f>
        <v>0.1086</v>
      </c>
      <c r="H228" s="625">
        <f>$H$205</f>
        <v>0.52599015110063552</v>
      </c>
      <c r="I228" s="427">
        <f>F228*G228*H228</f>
        <v>74130.14920053909</v>
      </c>
      <c r="J228" s="106"/>
      <c r="K228" s="417">
        <v>1297739.2400000005</v>
      </c>
      <c r="L228" s="558">
        <f>G228</f>
        <v>0.1086</v>
      </c>
      <c r="M228" s="558">
        <f>H228</f>
        <v>0.52599015110063552</v>
      </c>
      <c r="N228" s="423">
        <f>K228*L228*M228</f>
        <v>74130.14920053909</v>
      </c>
    </row>
    <row r="229" spans="1:17">
      <c r="A229" s="1064">
        <f t="shared" si="64"/>
        <v>215</v>
      </c>
    </row>
    <row r="230" spans="1:17" ht="15.75" thickBot="1">
      <c r="A230" s="1064">
        <f t="shared" si="64"/>
        <v>216</v>
      </c>
      <c r="C230" s="4" t="s">
        <v>765</v>
      </c>
      <c r="D230" s="429">
        <f>D226+D198+D166+D109</f>
        <v>945066205.10915303</v>
      </c>
      <c r="E230" s="429">
        <f>E226+E198+E166+E109</f>
        <v>0</v>
      </c>
      <c r="F230" s="429">
        <f>F226+F198+F166+F109</f>
        <v>945066205.10915303</v>
      </c>
      <c r="I230" s="626">
        <f>I226+I198+I166+I109</f>
        <v>569988682.18807673</v>
      </c>
      <c r="J230" s="106"/>
      <c r="K230" s="626">
        <f>K226+K198+K166+K109</f>
        <v>915376337.42861176</v>
      </c>
      <c r="L230" s="241"/>
      <c r="M230" s="241"/>
      <c r="N230" s="626">
        <f>N226+N198+N166+N109</f>
        <v>552599039.91804004</v>
      </c>
      <c r="P230" s="771"/>
    </row>
    <row r="231" spans="1:17" ht="15.75" thickTop="1">
      <c r="A231" s="1064">
        <f t="shared" si="64"/>
        <v>217</v>
      </c>
      <c r="I231" s="106"/>
      <c r="J231" s="106"/>
      <c r="K231" s="106"/>
      <c r="L231" s="241"/>
      <c r="M231" s="241"/>
      <c r="N231" s="106"/>
    </row>
    <row r="232" spans="1:17" ht="30.75" thickBot="1">
      <c r="A232" s="1064">
        <f t="shared" si="64"/>
        <v>218</v>
      </c>
      <c r="C232" s="807" t="s">
        <v>5</v>
      </c>
      <c r="D232" s="626">
        <f>D228+D200+D168+D111</f>
        <v>27043465.570000008</v>
      </c>
      <c r="E232" s="133"/>
      <c r="F232" s="429">
        <f>F228+F200+F168+F111</f>
        <v>27043465.570000008</v>
      </c>
      <c r="I232" s="626">
        <f>I228+I200+I168+I111</f>
        <v>14731738.637158927</v>
      </c>
      <c r="J232" s="106"/>
      <c r="K232" s="626">
        <f>K228+K200+K168+K111</f>
        <v>27043465.570000008</v>
      </c>
      <c r="L232" s="241"/>
      <c r="M232" s="241"/>
      <c r="N232" s="626">
        <f>N228+N200+N168+N111</f>
        <v>14731738.637158928</v>
      </c>
    </row>
    <row r="233" spans="1:17" ht="15.75" thickTop="1"/>
    <row r="236" spans="1:17">
      <c r="C236" t="s">
        <v>533</v>
      </c>
    </row>
    <row r="237" spans="1:17">
      <c r="C237" t="s">
        <v>1593</v>
      </c>
    </row>
  </sheetData>
  <mergeCells count="4">
    <mergeCell ref="A1:N1"/>
    <mergeCell ref="A2:N2"/>
    <mergeCell ref="A3:N3"/>
    <mergeCell ref="A4:N4"/>
  </mergeCells>
  <phoneticPr fontId="24" type="noConversion"/>
  <pageMargins left="0.52" right="0.34" top="0.96" bottom="1" header="0.5" footer="0.42"/>
  <pageSetup scale="60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1" max="13" man="1"/>
    <brk id="144" max="13" man="1"/>
    <brk id="168" max="13" man="1"/>
    <brk id="2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111</vt:i4>
      </vt:variant>
    </vt:vector>
  </HeadingPairs>
  <TitlesOfParts>
    <vt:vector size="190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A'!Print_Area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'Table of Contents'!Print_Area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Eric  Wilen</cp:lastModifiedBy>
  <cp:lastPrinted>2016-03-03T03:07:35Z</cp:lastPrinted>
  <dcterms:created xsi:type="dcterms:W3CDTF">1998-03-09T18:47:56Z</dcterms:created>
  <dcterms:modified xsi:type="dcterms:W3CDTF">2016-03-03T03:07:58Z</dcterms:modified>
</cp:coreProperties>
</file>