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225" windowWidth="20700" windowHeight="5640"/>
  </bookViews>
  <sheets>
    <sheet name="Winter" sheetId="1" r:id="rId1"/>
    <sheet name="NNS Ratchets" sheetId="5" state="hidden" r:id="rId2"/>
    <sheet name="Co-owned storage ratchets" sheetId="6" state="hidden" r:id="rId3"/>
    <sheet name="Tx Gas Zn 2 14-15 Design Day" sheetId="12" state="hidden" r:id="rId4"/>
    <sheet name="Livermore, KY 14-15 Design Day" sheetId="16" state="hidden" r:id="rId5"/>
    <sheet name="Tx Gas Zn 3 S 14-15 Design Day " sheetId="13" state="hidden" r:id="rId6"/>
    <sheet name="Tx Gas Zn 3 N 14-15 Design Day" sheetId="14" state="hidden" r:id="rId7"/>
    <sheet name="Tx Gas Zn 4 14-15 Design Day" sheetId="15" state="hidden" r:id="rId8"/>
    <sheet name="Sheet1" sheetId="17" r:id="rId9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Winter!$A$1:$L$54</definedName>
  </definedNames>
  <calcPr calcId="145621" iterate="1"/>
</workbook>
</file>

<file path=xl/calcChain.xml><?xml version="1.0" encoding="utf-8"?>
<calcChain xmlns="http://schemas.openxmlformats.org/spreadsheetml/2006/main">
  <c r="B13" i="1" l="1"/>
  <c r="J20" i="1" l="1"/>
  <c r="L108" i="1"/>
  <c r="L122" i="1"/>
  <c r="J122" i="1"/>
  <c r="L125" i="1" s="1"/>
  <c r="H122" i="1"/>
  <c r="L101" i="1"/>
  <c r="L104" i="1" s="1"/>
  <c r="M104" i="1" s="1"/>
  <c r="J101" i="1"/>
  <c r="J108" i="1"/>
  <c r="C93" i="1"/>
  <c r="D93" i="1"/>
  <c r="F93" i="1"/>
  <c r="H93" i="1"/>
  <c r="J93" i="1"/>
  <c r="L96" i="1" s="1"/>
  <c r="L93" i="1"/>
  <c r="C101" i="1"/>
  <c r="D104" i="1" s="1"/>
  <c r="E104" i="1" s="1"/>
  <c r="D101" i="1"/>
  <c r="F101" i="1"/>
  <c r="H101" i="1"/>
  <c r="C108" i="1"/>
  <c r="D111" i="1" s="1"/>
  <c r="E111" i="1" s="1"/>
  <c r="D108" i="1"/>
  <c r="F108" i="1"/>
  <c r="H108" i="1"/>
  <c r="C115" i="1"/>
  <c r="D115" i="1"/>
  <c r="F115" i="1"/>
  <c r="H118" i="1" s="1"/>
  <c r="H115" i="1"/>
  <c r="J115" i="1"/>
  <c r="L115" i="1"/>
  <c r="C122" i="1"/>
  <c r="D125" i="1" s="1"/>
  <c r="D122" i="1"/>
  <c r="F122" i="1"/>
  <c r="C129" i="1"/>
  <c r="D129" i="1"/>
  <c r="F129" i="1" s="1"/>
  <c r="H129" i="1" s="1"/>
  <c r="J129" i="1" s="1"/>
  <c r="L129" i="1" s="1"/>
  <c r="G129" i="1"/>
  <c r="I129" i="1" s="1"/>
  <c r="K129" i="1" s="1"/>
  <c r="J26" i="1"/>
  <c r="H26" i="1"/>
  <c r="A81" i="1"/>
  <c r="A82" i="1"/>
  <c r="B82" i="1"/>
  <c r="A83" i="1"/>
  <c r="C17" i="1"/>
  <c r="C41" i="1"/>
  <c r="F26" i="1"/>
  <c r="D26" i="1"/>
  <c r="A57" i="1"/>
  <c r="A58" i="1"/>
  <c r="H20" i="1"/>
  <c r="F20" i="1"/>
  <c r="D20" i="1"/>
  <c r="B20" i="1"/>
  <c r="C10" i="6"/>
  <c r="C17" i="6" s="1"/>
  <c r="F17" i="6" s="1"/>
  <c r="F18" i="6" s="1"/>
  <c r="D10" i="6"/>
  <c r="C11" i="6"/>
  <c r="D11" i="6"/>
  <c r="C12" i="6"/>
  <c r="D12" i="6"/>
  <c r="C13" i="6"/>
  <c r="D13" i="6"/>
  <c r="C14" i="6"/>
  <c r="D14" i="6"/>
  <c r="C15" i="6"/>
  <c r="D15" i="6"/>
  <c r="B17" i="6"/>
  <c r="B75" i="6"/>
  <c r="J23" i="6"/>
  <c r="B25" i="6"/>
  <c r="B26" i="6"/>
  <c r="C26" i="6"/>
  <c r="D26" i="6"/>
  <c r="E26" i="6"/>
  <c r="F26" i="6"/>
  <c r="G26" i="6"/>
  <c r="H26" i="6"/>
  <c r="I26" i="6"/>
  <c r="J26" i="6"/>
  <c r="L26" i="6"/>
  <c r="M26" i="6"/>
  <c r="B27" i="6"/>
  <c r="C27" i="6" s="1"/>
  <c r="E27" i="6"/>
  <c r="F27" i="6"/>
  <c r="I27" i="6"/>
  <c r="J27" i="6"/>
  <c r="B28" i="6"/>
  <c r="B29" i="6"/>
  <c r="C29" i="6" s="1"/>
  <c r="E29" i="6"/>
  <c r="D29" i="6"/>
  <c r="F29" i="6"/>
  <c r="G29" i="6"/>
  <c r="H29" i="6"/>
  <c r="I29" i="6"/>
  <c r="J29" i="6"/>
  <c r="L29" i="6"/>
  <c r="M29" i="6"/>
  <c r="B30" i="6"/>
  <c r="F30" i="6"/>
  <c r="C34" i="6"/>
  <c r="D34" i="6"/>
  <c r="E34" i="6"/>
  <c r="F34" i="6"/>
  <c r="G34" i="6"/>
  <c r="H34" i="6"/>
  <c r="I34" i="6"/>
  <c r="J34" i="6"/>
  <c r="L34" i="6"/>
  <c r="L40" i="6"/>
  <c r="M34" i="6"/>
  <c r="M40" i="6"/>
  <c r="B35" i="6"/>
  <c r="C35" i="6"/>
  <c r="D35" i="6"/>
  <c r="E35" i="6"/>
  <c r="E42" i="6" s="1"/>
  <c r="F35" i="6"/>
  <c r="F42" i="6" s="1"/>
  <c r="E20" i="6" s="1"/>
  <c r="G19" i="6" s="1"/>
  <c r="G35" i="6"/>
  <c r="H35" i="6"/>
  <c r="H42" i="6" s="1"/>
  <c r="I35" i="6"/>
  <c r="I42" i="6" s="1"/>
  <c r="G20" i="6" s="1"/>
  <c r="I19" i="6" s="1"/>
  <c r="J35" i="6"/>
  <c r="J42" i="6" s="1"/>
  <c r="K35" i="6"/>
  <c r="L35" i="6"/>
  <c r="L42" i="6" s="1"/>
  <c r="K20" i="6" s="1"/>
  <c r="M19" i="6" s="1"/>
  <c r="M35" i="6"/>
  <c r="M42" i="6" s="1"/>
  <c r="M20" i="6" s="1"/>
  <c r="B36" i="6"/>
  <c r="C36" i="6"/>
  <c r="D36" i="6"/>
  <c r="E36" i="6"/>
  <c r="B37" i="6"/>
  <c r="B38" i="6"/>
  <c r="B42" i="6" s="1"/>
  <c r="B39" i="6"/>
  <c r="B40" i="6"/>
  <c r="C40" i="6"/>
  <c r="D40" i="6"/>
  <c r="E40" i="6"/>
  <c r="F40" i="6"/>
  <c r="G40" i="6"/>
  <c r="G42" i="6" s="1"/>
  <c r="H40" i="6"/>
  <c r="I40" i="6"/>
  <c r="J40" i="6"/>
  <c r="C42" i="6"/>
  <c r="E19" i="6" s="1"/>
  <c r="C10" i="5"/>
  <c r="D10" i="5"/>
  <c r="D15" i="5" s="1"/>
  <c r="E10" i="5"/>
  <c r="F10" i="5"/>
  <c r="G10" i="5"/>
  <c r="G15" i="5" s="1"/>
  <c r="C11" i="5"/>
  <c r="D11" i="5"/>
  <c r="D16" i="5"/>
  <c r="E11" i="5"/>
  <c r="E16" i="5"/>
  <c r="F11" i="5"/>
  <c r="G11" i="5"/>
  <c r="G16" i="5" s="1"/>
  <c r="C12" i="5"/>
  <c r="D12" i="5"/>
  <c r="E12" i="5"/>
  <c r="F12" i="5"/>
  <c r="F17" i="5"/>
  <c r="G12" i="5"/>
  <c r="E15" i="5"/>
  <c r="F15" i="5"/>
  <c r="F16" i="5"/>
  <c r="D17" i="5"/>
  <c r="E17" i="5"/>
  <c r="G17" i="5"/>
  <c r="D24" i="5"/>
  <c r="E24" i="5"/>
  <c r="F24" i="5"/>
  <c r="G24" i="5"/>
  <c r="D25" i="5"/>
  <c r="E25" i="5"/>
  <c r="F25" i="5"/>
  <c r="G25" i="5"/>
  <c r="D26" i="5"/>
  <c r="E26" i="5"/>
  <c r="F26" i="5"/>
  <c r="G26" i="5"/>
  <c r="D30" i="5"/>
  <c r="E30" i="5" s="1"/>
  <c r="F30" i="5" s="1"/>
  <c r="G30" i="5" s="1"/>
  <c r="H30" i="5" s="1"/>
  <c r="L10" i="1"/>
  <c r="D13" i="1"/>
  <c r="F13" i="1"/>
  <c r="H13" i="1"/>
  <c r="J13" i="1"/>
  <c r="E17" i="1"/>
  <c r="E41" i="1"/>
  <c r="G17" i="1"/>
  <c r="G41" i="1"/>
  <c r="I17" i="1"/>
  <c r="I41" i="1"/>
  <c r="K17" i="1"/>
  <c r="K41" i="1"/>
  <c r="L17" i="1"/>
  <c r="C26" i="1"/>
  <c r="N26" i="1"/>
  <c r="C27" i="1"/>
  <c r="C42" i="1"/>
  <c r="E27" i="1"/>
  <c r="E42" i="1"/>
  <c r="G27" i="1"/>
  <c r="G42" i="1"/>
  <c r="I27" i="1"/>
  <c r="I42" i="1"/>
  <c r="K27" i="1"/>
  <c r="K42" i="1"/>
  <c r="L27" i="1"/>
  <c r="C28" i="1"/>
  <c r="C43" i="1" s="1"/>
  <c r="E28" i="1"/>
  <c r="E43" i="1"/>
  <c r="G28" i="1"/>
  <c r="G43" i="1" s="1"/>
  <c r="I28" i="1"/>
  <c r="I43" i="1"/>
  <c r="K28" i="1"/>
  <c r="K43" i="1" s="1"/>
  <c r="L28" i="1"/>
  <c r="B31" i="1"/>
  <c r="D31" i="1"/>
  <c r="F31" i="1"/>
  <c r="G31" i="1"/>
  <c r="H31" i="1"/>
  <c r="J31" i="1"/>
  <c r="B41" i="1"/>
  <c r="D41" i="1"/>
  <c r="F41" i="1"/>
  <c r="L41" i="1" s="1"/>
  <c r="H41" i="1"/>
  <c r="J41" i="1"/>
  <c r="B42" i="1"/>
  <c r="D42" i="1"/>
  <c r="F42" i="1"/>
  <c r="H42" i="1"/>
  <c r="J42" i="1"/>
  <c r="B43" i="1"/>
  <c r="D43" i="1"/>
  <c r="F43" i="1"/>
  <c r="L43" i="1"/>
  <c r="H43" i="1"/>
  <c r="J43" i="1"/>
  <c r="A62" i="1"/>
  <c r="A64" i="1"/>
  <c r="A65" i="1"/>
  <c r="A67" i="1"/>
  <c r="A69" i="1"/>
  <c r="C69" i="1"/>
  <c r="A70" i="1"/>
  <c r="B75" i="1"/>
  <c r="D81" i="1" s="1"/>
  <c r="D16" i="1" s="1"/>
  <c r="B81" i="1"/>
  <c r="D75" i="1"/>
  <c r="F75" i="1"/>
  <c r="H75" i="1"/>
  <c r="J75" i="1"/>
  <c r="B76" i="1"/>
  <c r="D76" i="1"/>
  <c r="F76" i="1"/>
  <c r="H76" i="1"/>
  <c r="J76" i="1"/>
  <c r="B77" i="1"/>
  <c r="D77" i="1"/>
  <c r="F77" i="1"/>
  <c r="H83" i="1" s="1"/>
  <c r="H77" i="1"/>
  <c r="J77" i="1"/>
  <c r="J83" i="1"/>
  <c r="J34" i="1"/>
  <c r="J104" i="1"/>
  <c r="K104" i="1"/>
  <c r="F125" i="1"/>
  <c r="G125" i="1"/>
  <c r="H125" i="1"/>
  <c r="I125" i="1" s="1"/>
  <c r="L26" i="1"/>
  <c r="M26" i="1" s="1"/>
  <c r="L118" i="1"/>
  <c r="M118" i="1" s="1"/>
  <c r="H104" i="1"/>
  <c r="I104" i="1"/>
  <c r="N25" i="1"/>
  <c r="F96" i="1"/>
  <c r="D96" i="1"/>
  <c r="A59" i="1"/>
  <c r="J118" i="1"/>
  <c r="K118" i="1" s="1"/>
  <c r="H37" i="1"/>
  <c r="F37" i="1"/>
  <c r="A63" i="1"/>
  <c r="N24" i="1"/>
  <c r="B70" i="6"/>
  <c r="H34" i="1"/>
  <c r="H33" i="1" s="1"/>
  <c r="I33" i="1" s="1"/>
  <c r="J125" i="1"/>
  <c r="M96" i="1"/>
  <c r="B72" i="6"/>
  <c r="B53" i="6"/>
  <c r="B63" i="6"/>
  <c r="B83" i="1"/>
  <c r="I31" i="1"/>
  <c r="D42" i="6"/>
  <c r="B68" i="6"/>
  <c r="B54" i="6"/>
  <c r="B65" i="6"/>
  <c r="C28" i="6"/>
  <c r="E28" i="6"/>
  <c r="D17" i="6"/>
  <c r="F118" i="1"/>
  <c r="D118" i="1"/>
  <c r="F104" i="1"/>
  <c r="M27" i="6"/>
  <c r="H27" i="6"/>
  <c r="D27" i="6"/>
  <c r="G96" i="1"/>
  <c r="A66" i="1"/>
  <c r="L27" i="6"/>
  <c r="G27" i="6"/>
  <c r="E118" i="1"/>
  <c r="H35" i="1"/>
  <c r="B34" i="1"/>
  <c r="B61" i="6" l="1"/>
  <c r="B52" i="6"/>
  <c r="B73" i="6"/>
  <c r="B66" i="6"/>
  <c r="B60" i="6"/>
  <c r="B59" i="6"/>
  <c r="B56" i="6"/>
  <c r="B57" i="6"/>
  <c r="B62" i="6"/>
  <c r="B69" i="6"/>
  <c r="B48" i="6"/>
  <c r="B50" i="6"/>
  <c r="B51" i="6"/>
  <c r="B64" i="6"/>
  <c r="B71" i="6"/>
  <c r="B58" i="6"/>
  <c r="B55" i="6"/>
  <c r="B49" i="6"/>
  <c r="B74" i="6"/>
  <c r="B67" i="6"/>
  <c r="E16" i="1"/>
  <c r="D15" i="1"/>
  <c r="E31" i="1"/>
  <c r="D37" i="1"/>
  <c r="L31" i="1"/>
  <c r="F83" i="1"/>
  <c r="F34" i="1" s="1"/>
  <c r="F33" i="1" s="1"/>
  <c r="D83" i="1"/>
  <c r="C25" i="6"/>
  <c r="G25" i="6"/>
  <c r="L25" i="6"/>
  <c r="L32" i="6" s="1"/>
  <c r="D25" i="6"/>
  <c r="H25" i="6"/>
  <c r="M25" i="6"/>
  <c r="E25" i="6"/>
  <c r="E32" i="6" s="1"/>
  <c r="I25" i="6"/>
  <c r="F25" i="6"/>
  <c r="J25" i="6"/>
  <c r="B32" i="6"/>
  <c r="L20" i="1"/>
  <c r="B37" i="1"/>
  <c r="B22" i="1"/>
  <c r="K31" i="1"/>
  <c r="J33" i="1"/>
  <c r="J37" i="1"/>
  <c r="G104" i="1"/>
  <c r="K125" i="1"/>
  <c r="H25" i="1"/>
  <c r="I25" i="1" s="1"/>
  <c r="F82" i="1"/>
  <c r="F23" i="1" s="1"/>
  <c r="D82" i="1"/>
  <c r="D23" i="1" s="1"/>
  <c r="F81" i="1"/>
  <c r="F16" i="1" s="1"/>
  <c r="H81" i="1"/>
  <c r="H16" i="1" s="1"/>
  <c r="L42" i="1"/>
  <c r="L13" i="1"/>
  <c r="C30" i="6"/>
  <c r="G30" i="6"/>
  <c r="L30" i="6"/>
  <c r="D30" i="6"/>
  <c r="H30" i="6"/>
  <c r="M30" i="6"/>
  <c r="E30" i="6"/>
  <c r="I30" i="6"/>
  <c r="F28" i="6"/>
  <c r="D28" i="6"/>
  <c r="I28" i="6"/>
  <c r="G28" i="6"/>
  <c r="H28" i="6"/>
  <c r="J28" i="6"/>
  <c r="L28" i="6"/>
  <c r="M28" i="6"/>
  <c r="G118" i="1"/>
  <c r="D25" i="1"/>
  <c r="E25" i="1" s="1"/>
  <c r="E96" i="1"/>
  <c r="B24" i="1"/>
  <c r="E69" i="1"/>
  <c r="C68" i="1"/>
  <c r="B25" i="1"/>
  <c r="E125" i="1"/>
  <c r="I118" i="1"/>
  <c r="F25" i="1"/>
  <c r="G25" i="1" s="1"/>
  <c r="F111" i="1"/>
  <c r="G111" i="1" s="1"/>
  <c r="H111" i="1"/>
  <c r="I111" i="1" s="1"/>
  <c r="B33" i="1"/>
  <c r="J82" i="1"/>
  <c r="J23" i="1" s="1"/>
  <c r="H82" i="1"/>
  <c r="H23" i="1" s="1"/>
  <c r="J78" i="1"/>
  <c r="K79" i="1" s="1"/>
  <c r="J81" i="1"/>
  <c r="J16" i="1" s="1"/>
  <c r="B16" i="1"/>
  <c r="B15" i="1" s="1"/>
  <c r="J30" i="6"/>
  <c r="H17" i="6"/>
  <c r="B23" i="1"/>
  <c r="L82" i="1"/>
  <c r="J96" i="1"/>
  <c r="H96" i="1"/>
  <c r="J111" i="1"/>
  <c r="K111" i="1" s="1"/>
  <c r="L111" i="1"/>
  <c r="M111" i="1" s="1"/>
  <c r="M125" i="1"/>
  <c r="J25" i="1"/>
  <c r="K25" i="1" s="1"/>
  <c r="B76" i="6" l="1"/>
  <c r="B18" i="1"/>
  <c r="B40" i="1"/>
  <c r="C15" i="1"/>
  <c r="I23" i="1"/>
  <c r="G33" i="1"/>
  <c r="F35" i="1"/>
  <c r="L23" i="1"/>
  <c r="M23" i="1" s="1"/>
  <c r="C23" i="1"/>
  <c r="L81" i="1"/>
  <c r="K23" i="1"/>
  <c r="C63" i="1"/>
  <c r="C24" i="1"/>
  <c r="I16" i="1"/>
  <c r="H15" i="1"/>
  <c r="H38" i="1"/>
  <c r="L37" i="1"/>
  <c r="J32" i="6"/>
  <c r="M32" i="6"/>
  <c r="G32" i="6"/>
  <c r="B38" i="1"/>
  <c r="C16" i="1"/>
  <c r="L16" i="1"/>
  <c r="E68" i="1"/>
  <c r="G69" i="1"/>
  <c r="G23" i="1"/>
  <c r="J17" i="6"/>
  <c r="H18" i="6"/>
  <c r="F15" i="1"/>
  <c r="G16" i="1"/>
  <c r="K33" i="1"/>
  <c r="J35" i="1"/>
  <c r="F32" i="6"/>
  <c r="H32" i="6"/>
  <c r="C32" i="6"/>
  <c r="D18" i="1"/>
  <c r="E15" i="1"/>
  <c r="J24" i="1"/>
  <c r="K24" i="1" s="1"/>
  <c r="B29" i="1"/>
  <c r="C22" i="1"/>
  <c r="I96" i="1"/>
  <c r="F24" i="1"/>
  <c r="G24" i="1" s="1"/>
  <c r="K16" i="1"/>
  <c r="J38" i="1"/>
  <c r="L25" i="1"/>
  <c r="M25" i="1" s="1"/>
  <c r="C66" i="1"/>
  <c r="C25" i="1"/>
  <c r="K96" i="1"/>
  <c r="H24" i="1"/>
  <c r="I24" i="1" s="1"/>
  <c r="B35" i="1"/>
  <c r="C33" i="1"/>
  <c r="J15" i="1"/>
  <c r="L15" i="1" s="1"/>
  <c r="E23" i="1"/>
  <c r="D24" i="1"/>
  <c r="E24" i="1" s="1"/>
  <c r="I32" i="6"/>
  <c r="D32" i="6"/>
  <c r="D34" i="1"/>
  <c r="L83" i="1"/>
  <c r="C47" i="6" l="1"/>
  <c r="C48" i="6" s="1"/>
  <c r="J18" i="6"/>
  <c r="F47" i="6"/>
  <c r="L17" i="6"/>
  <c r="E63" i="1"/>
  <c r="C61" i="1"/>
  <c r="L84" i="1"/>
  <c r="M84" i="1" s="1"/>
  <c r="L34" i="1"/>
  <c r="M34" i="1" s="1"/>
  <c r="D33" i="1"/>
  <c r="D22" i="1"/>
  <c r="F38" i="1"/>
  <c r="F22" i="1"/>
  <c r="M16" i="1"/>
  <c r="M38" i="1"/>
  <c r="I15" i="1"/>
  <c r="H18" i="1"/>
  <c r="L24" i="1"/>
  <c r="M24" i="1" s="1"/>
  <c r="C40" i="1"/>
  <c r="C44" i="1" s="1"/>
  <c r="C65" i="1"/>
  <c r="E66" i="1"/>
  <c r="G15" i="1"/>
  <c r="F18" i="1"/>
  <c r="L18" i="1" s="1"/>
  <c r="F40" i="1"/>
  <c r="F44" i="1" s="1"/>
  <c r="H22" i="1"/>
  <c r="B44" i="1"/>
  <c r="J18" i="1"/>
  <c r="K15" i="1"/>
  <c r="I69" i="1"/>
  <c r="G68" i="1"/>
  <c r="L38" i="1"/>
  <c r="J22" i="1"/>
  <c r="J40" i="1" s="1"/>
  <c r="J44" i="1" s="1"/>
  <c r="D38" i="1"/>
  <c r="G47" i="6" l="1"/>
  <c r="G40" i="1"/>
  <c r="G44" i="1" s="1"/>
  <c r="E22" i="1"/>
  <c r="D29" i="1"/>
  <c r="D40" i="1"/>
  <c r="L22" i="1"/>
  <c r="L29" i="1" s="1"/>
  <c r="I68" i="1"/>
  <c r="K69" i="1"/>
  <c r="K68" i="1" s="1"/>
  <c r="I22" i="1"/>
  <c r="H29" i="1"/>
  <c r="E65" i="1"/>
  <c r="G66" i="1"/>
  <c r="H40" i="1"/>
  <c r="D35" i="1"/>
  <c r="L35" i="1" s="1"/>
  <c r="E33" i="1"/>
  <c r="L33" i="1"/>
  <c r="E61" i="1"/>
  <c r="G63" i="1"/>
  <c r="K23" i="6"/>
  <c r="K47" i="6"/>
  <c r="D47" i="6"/>
  <c r="J47" i="6" s="1"/>
  <c r="K22" i="1"/>
  <c r="K40" i="1" s="1"/>
  <c r="K44" i="1" s="1"/>
  <c r="J29" i="1"/>
  <c r="G22" i="1"/>
  <c r="F29" i="1"/>
  <c r="L18" i="6"/>
  <c r="N17" i="6"/>
  <c r="N18" i="6" s="1"/>
  <c r="D48" i="6"/>
  <c r="C49" i="6"/>
  <c r="I48" i="6" l="1"/>
  <c r="H44" i="1"/>
  <c r="I40" i="1"/>
  <c r="I44" i="1" s="1"/>
  <c r="D44" i="1"/>
  <c r="L44" i="1" s="1"/>
  <c r="L40" i="1"/>
  <c r="C50" i="6"/>
  <c r="D49" i="6"/>
  <c r="I63" i="1"/>
  <c r="G61" i="1"/>
  <c r="I66" i="1"/>
  <c r="G65" i="1"/>
  <c r="K34" i="6"/>
  <c r="K40" i="6" s="1"/>
  <c r="K42" i="6" s="1"/>
  <c r="I20" i="6" s="1"/>
  <c r="K19" i="6" s="1"/>
  <c r="K27" i="6"/>
  <c r="K28" i="6"/>
  <c r="K30" i="6"/>
  <c r="K29" i="6"/>
  <c r="K26" i="6"/>
  <c r="K25" i="6"/>
  <c r="E40" i="1"/>
  <c r="E44" i="1" s="1"/>
  <c r="K32" i="6" l="1"/>
  <c r="I65" i="1"/>
  <c r="K66" i="1"/>
  <c r="K65" i="1" s="1"/>
  <c r="D50" i="6"/>
  <c r="C51" i="6"/>
  <c r="E48" i="6"/>
  <c r="K63" i="1"/>
  <c r="K61" i="1" s="1"/>
  <c r="I61" i="1"/>
  <c r="J48" i="6"/>
  <c r="F48" i="6" l="1"/>
  <c r="I49" i="6"/>
  <c r="K48" i="6"/>
  <c r="C52" i="6"/>
  <c r="D51" i="6"/>
  <c r="E49" i="6" l="1"/>
  <c r="J49" i="6"/>
  <c r="C53" i="6"/>
  <c r="D52" i="6"/>
  <c r="F49" i="6"/>
  <c r="G48" i="6"/>
  <c r="D53" i="6" l="1"/>
  <c r="C54" i="6"/>
  <c r="K49" i="6"/>
  <c r="I50" i="6"/>
  <c r="J50" i="6" s="1"/>
  <c r="G49" i="6"/>
  <c r="I51" i="6" l="1"/>
  <c r="E51" i="6" s="1"/>
  <c r="K50" i="6"/>
  <c r="J51" i="6"/>
  <c r="D54" i="6"/>
  <c r="C55" i="6"/>
  <c r="E50" i="6"/>
  <c r="I52" i="6" l="1"/>
  <c r="J52" i="6"/>
  <c r="K51" i="6"/>
  <c r="F50" i="6"/>
  <c r="C56" i="6"/>
  <c r="D55" i="6"/>
  <c r="G50" i="6" l="1"/>
  <c r="F51" i="6"/>
  <c r="I53" i="6"/>
  <c r="E53" i="6" s="1"/>
  <c r="K52" i="6"/>
  <c r="D56" i="6"/>
  <c r="C57" i="6"/>
  <c r="E52" i="6"/>
  <c r="J53" i="6" l="1"/>
  <c r="K53" i="6"/>
  <c r="I54" i="6"/>
  <c r="J54" i="6" s="1"/>
  <c r="D57" i="6"/>
  <c r="C58" i="6"/>
  <c r="G51" i="6"/>
  <c r="F52" i="6"/>
  <c r="I55" i="6" l="1"/>
  <c r="E55" i="6" s="1"/>
  <c r="K54" i="6"/>
  <c r="G52" i="6"/>
  <c r="F53" i="6"/>
  <c r="E54" i="6"/>
  <c r="C59" i="6"/>
  <c r="D58" i="6"/>
  <c r="D59" i="6" l="1"/>
  <c r="C60" i="6"/>
  <c r="G53" i="6"/>
  <c r="F54" i="6"/>
  <c r="J55" i="6"/>
  <c r="G54" i="6" l="1"/>
  <c r="F55" i="6"/>
  <c r="C61" i="6"/>
  <c r="D60" i="6"/>
  <c r="I56" i="6"/>
  <c r="E56" i="6" s="1"/>
  <c r="K55" i="6"/>
  <c r="J56" i="6"/>
  <c r="K56" i="6" l="1"/>
  <c r="I57" i="6"/>
  <c r="E57" i="6" s="1"/>
  <c r="D61" i="6"/>
  <c r="C62" i="6"/>
  <c r="G55" i="6"/>
  <c r="F56" i="6"/>
  <c r="J57" i="6" l="1"/>
  <c r="K57" i="6" s="1"/>
  <c r="F57" i="6"/>
  <c r="G56" i="6"/>
  <c r="I58" i="6"/>
  <c r="E58" i="6" s="1"/>
  <c r="D62" i="6"/>
  <c r="C63" i="6"/>
  <c r="C64" i="6" l="1"/>
  <c r="D63" i="6"/>
  <c r="J58" i="6"/>
  <c r="G57" i="6"/>
  <c r="F58" i="6"/>
  <c r="K58" i="6" l="1"/>
  <c r="I59" i="6"/>
  <c r="E59" i="6" s="1"/>
  <c r="F59" i="6" s="1"/>
  <c r="G58" i="6"/>
  <c r="C65" i="6"/>
  <c r="D64" i="6"/>
  <c r="J59" i="6" l="1"/>
  <c r="G59" i="6"/>
  <c r="C66" i="6"/>
  <c r="D65" i="6"/>
  <c r="K59" i="6"/>
  <c r="I60" i="6"/>
  <c r="E60" i="6" s="1"/>
  <c r="F60" i="6" s="1"/>
  <c r="G60" i="6" l="1"/>
  <c r="J60" i="6"/>
  <c r="C67" i="6"/>
  <c r="D66" i="6"/>
  <c r="D67" i="6" l="1"/>
  <c r="C68" i="6"/>
  <c r="K60" i="6"/>
  <c r="I61" i="6"/>
  <c r="E61" i="6" s="1"/>
  <c r="F61" i="6" s="1"/>
  <c r="G61" i="6" l="1"/>
  <c r="D68" i="6"/>
  <c r="C69" i="6"/>
  <c r="J61" i="6"/>
  <c r="C70" i="6" l="1"/>
  <c r="D69" i="6"/>
  <c r="K61" i="6"/>
  <c r="I62" i="6"/>
  <c r="E62" i="6" s="1"/>
  <c r="F62" i="6" s="1"/>
  <c r="G62" i="6" l="1"/>
  <c r="J62" i="6"/>
  <c r="D70" i="6"/>
  <c r="C71" i="6"/>
  <c r="D71" i="6" l="1"/>
  <c r="C72" i="6"/>
  <c r="I63" i="6"/>
  <c r="E63" i="6" s="1"/>
  <c r="F63" i="6" s="1"/>
  <c r="K62" i="6"/>
  <c r="G63" i="6" l="1"/>
  <c r="C73" i="6"/>
  <c r="D72" i="6"/>
  <c r="J63" i="6"/>
  <c r="C74" i="6" l="1"/>
  <c r="D73" i="6"/>
  <c r="I64" i="6"/>
  <c r="E64" i="6" s="1"/>
  <c r="F64" i="6" s="1"/>
  <c r="K63" i="6"/>
  <c r="J64" i="6" l="1"/>
  <c r="G64" i="6"/>
  <c r="K64" i="6"/>
  <c r="J65" i="6"/>
  <c r="I65" i="6"/>
  <c r="E65" i="6" s="1"/>
  <c r="F65" i="6" s="1"/>
  <c r="C75" i="6"/>
  <c r="D75" i="6" s="1"/>
  <c r="D74" i="6"/>
  <c r="G65" i="6" l="1"/>
  <c r="I66" i="6"/>
  <c r="E66" i="6" s="1"/>
  <c r="F66" i="6" s="1"/>
  <c r="K65" i="6"/>
  <c r="G66" i="6" l="1"/>
  <c r="J66" i="6"/>
  <c r="K66" i="6" l="1"/>
  <c r="I67" i="6"/>
  <c r="E67" i="6" s="1"/>
  <c r="F67" i="6" s="1"/>
  <c r="J67" i="6" l="1"/>
  <c r="G67" i="6"/>
  <c r="I68" i="6" l="1"/>
  <c r="E68" i="6" s="1"/>
  <c r="F68" i="6" s="1"/>
  <c r="K67" i="6"/>
  <c r="J68" i="6" l="1"/>
  <c r="I69" i="6" s="1"/>
  <c r="E69" i="6" s="1"/>
  <c r="F69" i="6" s="1"/>
  <c r="G68" i="6"/>
  <c r="K68" i="6" l="1"/>
  <c r="J69" i="6"/>
  <c r="K69" i="6" s="1"/>
  <c r="I70" i="6"/>
  <c r="E70" i="6" s="1"/>
  <c r="J70" i="6"/>
  <c r="G69" i="6"/>
  <c r="F70" i="6"/>
  <c r="I71" i="6" l="1"/>
  <c r="E71" i="6" s="1"/>
  <c r="F71" i="6" s="1"/>
  <c r="K70" i="6"/>
  <c r="G70" i="6"/>
  <c r="J71" i="6" l="1"/>
  <c r="K71" i="6" s="1"/>
  <c r="G71" i="6"/>
  <c r="I72" i="6"/>
  <c r="E72" i="6" s="1"/>
  <c r="F72" i="6" s="1"/>
  <c r="J72" i="6" l="1"/>
  <c r="K72" i="6" s="1"/>
  <c r="G72" i="6"/>
  <c r="F73" i="6"/>
  <c r="I73" i="6"/>
  <c r="E73" i="6" s="1"/>
  <c r="J73" i="6" l="1"/>
  <c r="K73" i="6" s="1"/>
  <c r="I74" i="6"/>
  <c r="E74" i="6" s="1"/>
  <c r="J74" i="6"/>
  <c r="G73" i="6"/>
  <c r="F74" i="6"/>
  <c r="I75" i="6" l="1"/>
  <c r="J75" i="6"/>
  <c r="K75" i="6" s="1"/>
  <c r="K74" i="6"/>
  <c r="G74" i="6"/>
  <c r="E75" i="6" l="1"/>
  <c r="I76" i="6"/>
  <c r="E76" i="6" l="1"/>
  <c r="K16" i="6" s="1"/>
  <c r="L16" i="6" s="1"/>
  <c r="F75" i="6"/>
  <c r="G75" i="6" s="1"/>
  <c r="M16" i="6" l="1"/>
  <c r="N16" i="6" s="1"/>
</calcChain>
</file>

<file path=xl/comments1.xml><?xml version="1.0" encoding="utf-8"?>
<comments xmlns="http://schemas.openxmlformats.org/spreadsheetml/2006/main">
  <authors>
    <author>kgriffit</author>
    <author>Buchanan, Becky M</author>
    <author>Griffith, Kimberly B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1,365,000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- 2,100,000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Bon Harbor, Hickory, Grandview
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St. Charles, Kirkwood</t>
        </r>
      </text>
    </comment>
    <comment ref="H26" authorId="1">
      <text>
        <r>
          <rPr>
            <b/>
            <sz val="8"/>
            <color indexed="81"/>
            <rFont val="Tahoma"/>
            <family val="2"/>
          </rPr>
          <t>Buchanan, Becky M:</t>
        </r>
        <r>
          <rPr>
            <sz val="8"/>
            <color indexed="81"/>
            <rFont val="Tahoma"/>
            <family val="2"/>
          </rPr>
          <t xml:space="preserve">
sculpt w/d to follow ratchets preserving 50% inventory until Feb 15</t>
        </r>
      </text>
    </comment>
    <comment ref="J26" authorId="1">
      <text>
        <r>
          <rPr>
            <b/>
            <sz val="8"/>
            <color indexed="81"/>
            <rFont val="Tahoma"/>
            <family val="2"/>
          </rPr>
          <t>Buchanan, Becky M:</t>
        </r>
        <r>
          <rPr>
            <sz val="8"/>
            <color indexed="81"/>
            <rFont val="Tahoma"/>
            <family val="2"/>
          </rPr>
          <t xml:space="preserve">
Sculpt Mar w/d when hit 25% ratchet approx March 18th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- 376,150</t>
        </r>
      </text>
    </comment>
    <comment ref="A62" author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Bon Harbor, Hickory, Grandview
</t>
        </r>
      </text>
    </comment>
    <comment ref="A65" author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- St. Charles and Kirkwood
</t>
        </r>
      </text>
    </comment>
    <comment ref="K104" authorId="2">
      <text>
        <r>
          <rPr>
            <b/>
            <sz val="9"/>
            <color indexed="81"/>
            <rFont val="Tahoma"/>
            <family val="2"/>
          </rPr>
          <t>Griffith, Kimberly B:</t>
        </r>
        <r>
          <rPr>
            <sz val="9"/>
            <color indexed="81"/>
            <rFont val="Tahoma"/>
            <family val="2"/>
          </rPr>
          <t xml:space="preserve">
has to be below 1,500 under 50%</t>
        </r>
      </text>
    </comment>
    <comment ref="M104" authorId="2">
      <text>
        <r>
          <rPr>
            <b/>
            <sz val="9"/>
            <color indexed="81"/>
            <rFont val="Tahoma"/>
            <family val="2"/>
          </rPr>
          <t>Griffith, Kimberly B:</t>
        </r>
        <r>
          <rPr>
            <sz val="9"/>
            <color indexed="81"/>
            <rFont val="Tahoma"/>
            <family val="2"/>
          </rPr>
          <t xml:space="preserve">
should be 800 or less
</t>
        </r>
      </text>
    </comment>
    <comment ref="I125" authorId="2">
      <text>
        <r>
          <rPr>
            <b/>
            <sz val="9"/>
            <color indexed="81"/>
            <rFont val="Tahoma"/>
            <family val="2"/>
          </rPr>
          <t>Griffith, Kimberly B:</t>
        </r>
        <r>
          <rPr>
            <sz val="9"/>
            <color indexed="81"/>
            <rFont val="Tahoma"/>
            <family val="2"/>
          </rPr>
          <t xml:space="preserve">
s/b 14,800 or less
</t>
        </r>
      </text>
    </comment>
    <comment ref="K125" authorId="2">
      <text>
        <r>
          <rPr>
            <b/>
            <sz val="9"/>
            <color indexed="81"/>
            <rFont val="Tahoma"/>
            <family val="2"/>
          </rPr>
          <t>Griffith, Kimberly B:</t>
        </r>
        <r>
          <rPr>
            <sz val="9"/>
            <color indexed="81"/>
            <rFont val="Tahoma"/>
            <family val="2"/>
          </rPr>
          <t xml:space="preserve">
must be below 9,900
</t>
        </r>
      </text>
    </comment>
  </commentList>
</comments>
</file>

<file path=xl/comments2.xml><?xml version="1.0" encoding="utf-8"?>
<comments xmlns="http://schemas.openxmlformats.org/spreadsheetml/2006/main">
  <authors>
    <author>Becky Buchanan</author>
  </authors>
  <commentList>
    <comment ref="J23" authorId="0">
      <text>
        <r>
          <rPr>
            <b/>
            <sz val="8"/>
            <color indexed="81"/>
            <rFont val="Tahoma"/>
            <family val="2"/>
          </rPr>
          <t>Becky Buchanan:</t>
        </r>
        <r>
          <rPr>
            <sz val="8"/>
            <color indexed="81"/>
            <rFont val="Tahoma"/>
            <family val="2"/>
          </rPr>
          <t xml:space="preserve">
East Diamond ratchet; when storg level is 750,000 or less, deliverabiiity is .0267 x storage level.</t>
        </r>
      </text>
    </comment>
  </commentList>
</comments>
</file>

<file path=xl/sharedStrings.xml><?xml version="1.0" encoding="utf-8"?>
<sst xmlns="http://schemas.openxmlformats.org/spreadsheetml/2006/main" count="947" uniqueCount="223">
  <si>
    <t>Zone 2 - Requirements</t>
  </si>
  <si>
    <t>Zone 3 - Requirements</t>
  </si>
  <si>
    <t>Zone 4 - Requirements</t>
  </si>
  <si>
    <t>Est Oct 31 Beg Balance</t>
  </si>
  <si>
    <t>TARGET %</t>
  </si>
  <si>
    <t>NNS Storage W/D</t>
  </si>
  <si>
    <t>NNS Storage</t>
  </si>
  <si>
    <t>Unable to get Madisonville to 11% due to ratchets and restrictions stated in the TC</t>
  </si>
  <si>
    <t>All Volumes MMBTU</t>
  </si>
  <si>
    <t>Texas Gas Area</t>
  </si>
  <si>
    <t>Monthly</t>
  </si>
  <si>
    <t>Daily</t>
  </si>
  <si>
    <t>Total</t>
  </si>
  <si>
    <t>Zone 3</t>
  </si>
  <si>
    <t>Total Purchases</t>
  </si>
  <si>
    <t>Texas Gas Purchase</t>
  </si>
  <si>
    <t>Total Texas Gas Purchase</t>
  </si>
  <si>
    <t>Total Requirements</t>
  </si>
  <si>
    <t>Atmos Energy Corporation</t>
  </si>
  <si>
    <t>Trunkline Purchase</t>
  </si>
  <si>
    <t>Total Trunkline Purchase</t>
  </si>
  <si>
    <t>Total NNS and Storage</t>
  </si>
  <si>
    <t>Note 1:     Purchases reflect total requirements less anticipated winter storage withdrawal.</t>
  </si>
  <si>
    <t>Texas Gas - NNS Storage Withdrawals</t>
  </si>
  <si>
    <t xml:space="preserve">Kentucky Gas Supply Seasonal Plan </t>
  </si>
  <si>
    <t>NNS Storage Ratchets</t>
  </si>
  <si>
    <t>MSQ</t>
  </si>
  <si>
    <t>NNS 2</t>
  </si>
  <si>
    <t>NNS 3</t>
  </si>
  <si>
    <t>NNS 4</t>
  </si>
  <si>
    <t>Winter Inventory Level</t>
  </si>
  <si>
    <t>UDQ</t>
  </si>
  <si>
    <t>Nov</t>
  </si>
  <si>
    <t>Dec</t>
  </si>
  <si>
    <t>Jan</t>
  </si>
  <si>
    <t>Feb</t>
  </si>
  <si>
    <t>Mar</t>
  </si>
  <si>
    <t>Co-owned storage</t>
  </si>
  <si>
    <t>DTH</t>
  </si>
  <si>
    <t>November</t>
  </si>
  <si>
    <t>December</t>
  </si>
  <si>
    <t>January</t>
  </si>
  <si>
    <t>February</t>
  </si>
  <si>
    <t>March</t>
  </si>
  <si>
    <t>Co-owned</t>
  </si>
  <si>
    <t>ending bal</t>
  </si>
  <si>
    <t>Nov 1st</t>
  </si>
  <si>
    <t>Mar 31</t>
  </si>
  <si>
    <t>withdrawals</t>
  </si>
  <si>
    <t>TOTAL</t>
  </si>
  <si>
    <t>Bon Harbor</t>
  </si>
  <si>
    <t>Grandview</t>
  </si>
  <si>
    <t>Hickory</t>
  </si>
  <si>
    <t>Kirkwood</t>
  </si>
  <si>
    <t>St. Charles</t>
  </si>
  <si>
    <t>E. Diamond</t>
  </si>
  <si>
    <t>Available MDWQ high:</t>
  </si>
  <si>
    <t>Available MDWQ low:</t>
  </si>
  <si>
    <t>MDWQ</t>
  </si>
  <si>
    <t>Tot MDWQ</t>
  </si>
  <si>
    <t>Analysis of February</t>
  </si>
  <si>
    <t>EDiamond</t>
  </si>
  <si>
    <t>Plan daily W/D</t>
  </si>
  <si>
    <t>balance</t>
  </si>
  <si>
    <t>beg bal</t>
  </si>
  <si>
    <t>Coldest Day On Record &gt; 1970</t>
  </si>
  <si>
    <t>Kentucky Mid-States</t>
  </si>
  <si>
    <t>Atmos</t>
  </si>
  <si>
    <t>Business Unit</t>
  </si>
  <si>
    <t>Design Day Dth @ 95 % Confidence Level</t>
  </si>
  <si>
    <t>Time Period</t>
  </si>
  <si>
    <t>Design Day HDD</t>
  </si>
  <si>
    <t>Design Day Forecast DTH</t>
  </si>
  <si>
    <t>Load Study Name</t>
  </si>
  <si>
    <t>Tex Gas Zone 2, KY</t>
  </si>
  <si>
    <t>Regression R-squared</t>
  </si>
  <si>
    <t>Coldest Day On Record</t>
  </si>
  <si>
    <t>Atmos Winter Only Model</t>
  </si>
  <si>
    <t>Weather Station</t>
  </si>
  <si>
    <t>PAH - Paducah, KY</t>
  </si>
  <si>
    <t>Standard Error</t>
  </si>
  <si>
    <t>Day Before Coldest Day</t>
  </si>
  <si>
    <t>Design Day HDD Method</t>
  </si>
  <si>
    <t>Std Error Adj @ 95%</t>
  </si>
  <si>
    <t>Dataset Peak HDD</t>
  </si>
  <si>
    <t>Date</t>
  </si>
  <si>
    <t>Peak DTH</t>
  </si>
  <si>
    <t>Design Day Forecast Model</t>
  </si>
  <si>
    <t>Forecast DTH</t>
  </si>
  <si>
    <t>Dataset Actual Peak Day</t>
  </si>
  <si>
    <t>Firm Sales Only</t>
  </si>
  <si>
    <t>Time Period Utilized</t>
  </si>
  <si>
    <t>Stability Model</t>
  </si>
  <si>
    <t>Third Party Obligations DTH</t>
  </si>
  <si>
    <t>Dataset 3 Year Peak Day</t>
  </si>
  <si>
    <t>Normal Weather</t>
  </si>
  <si>
    <t>10% Colder Weather</t>
  </si>
  <si>
    <t>20% Colder Weather</t>
  </si>
  <si>
    <t>10% Warmer Weather</t>
  </si>
  <si>
    <t>20% Warmer Weather</t>
  </si>
  <si>
    <t>Total Forecast DTH</t>
  </si>
  <si>
    <t>Normal Volumes</t>
  </si>
  <si>
    <t>Firm Sales</t>
  </si>
  <si>
    <t>Int Sales</t>
  </si>
  <si>
    <t>Total Sales</t>
  </si>
  <si>
    <t>Month</t>
  </si>
  <si>
    <t>HDD</t>
  </si>
  <si>
    <t>Reserve Margin</t>
  </si>
  <si>
    <t>Annual Requirements DTH</t>
  </si>
  <si>
    <t>Final Delivery Capacity DTH</t>
  </si>
  <si>
    <t>Winter Requirements DTH</t>
  </si>
  <si>
    <t>Reserve Capacity DTH</t>
  </si>
  <si>
    <t>Reserve Capacity %</t>
  </si>
  <si>
    <t>April</t>
  </si>
  <si>
    <t>May</t>
  </si>
  <si>
    <t>June</t>
  </si>
  <si>
    <t>Summary of Final Delivery Capacity</t>
  </si>
  <si>
    <t>July</t>
  </si>
  <si>
    <t>Pipeline</t>
  </si>
  <si>
    <t>Contract # &amp; Description</t>
  </si>
  <si>
    <t>MDQ Dth</t>
  </si>
  <si>
    <t>Notes</t>
  </si>
  <si>
    <t>August</t>
  </si>
  <si>
    <t>Trunkline</t>
  </si>
  <si>
    <t>FT 14573</t>
  </si>
  <si>
    <t>September</t>
  </si>
  <si>
    <t>Texas Gas</t>
  </si>
  <si>
    <t>October</t>
  </si>
  <si>
    <t>Annual Firm Sales</t>
  </si>
  <si>
    <t>Winter Firm Sales</t>
  </si>
  <si>
    <t>Interruptible Sales Only</t>
  </si>
  <si>
    <t>Total Capacity</t>
  </si>
  <si>
    <t>Summary of Upstream and Storage Capacity</t>
  </si>
  <si>
    <t>Annual Int Sales</t>
  </si>
  <si>
    <t>Winter Int Sales</t>
  </si>
  <si>
    <t>Annual Total Sales</t>
  </si>
  <si>
    <t>Total Upstream and Storage Capacity</t>
  </si>
  <si>
    <t>Winter Total Sales</t>
  </si>
  <si>
    <t>EVV - Evansville, KY</t>
  </si>
  <si>
    <t>Tex Gas Zone 3 North, KY</t>
  </si>
  <si>
    <t>Atmos Company Owned Storage</t>
  </si>
  <si>
    <t>Volume for Company storage withdrawal is purely an estimate.  It will really</t>
  </si>
  <si>
    <t>depend on how the agent has gas on that day, where the levels of the fields are,</t>
  </si>
  <si>
    <t xml:space="preserve">and how hard the fields have been pulling on previous days. </t>
  </si>
  <si>
    <t>Tex Gas Zone 3 South, KY</t>
  </si>
  <si>
    <t>BWG - Bowling Green, KY</t>
  </si>
  <si>
    <t>Tex Gas Zone 4, KY</t>
  </si>
  <si>
    <t>SDF - Louisville, KY</t>
  </si>
  <si>
    <t>of MSQ</t>
  </si>
  <si>
    <t>Madisonville</t>
  </si>
  <si>
    <t>Owensboro</t>
  </si>
  <si>
    <t>NNS Storage Withdrawals             MSQ</t>
  </si>
  <si>
    <t>90% of NNS</t>
  </si>
  <si>
    <t>Co. Owned</t>
  </si>
  <si>
    <t>95% of MSQ</t>
  </si>
  <si>
    <t>90% of MSQ</t>
  </si>
  <si>
    <t>East Diamond</t>
  </si>
  <si>
    <t/>
  </si>
  <si>
    <t>Livermore, KY</t>
  </si>
  <si>
    <t>NNS N-0210 Zone 2 #29760</t>
  </si>
  <si>
    <t>FT T-3355 (#29759) Zone 3</t>
  </si>
  <si>
    <t>Expires 10/31/15</t>
  </si>
  <si>
    <t>FT T-29761 Zone 3</t>
  </si>
  <si>
    <t>NNS N-0340 (#29762) Zone 3</t>
  </si>
  <si>
    <t>Level of NNS storage does ratchet.  Expires 10/31/15</t>
  </si>
  <si>
    <t>FT 32799 release from MS 32794)</t>
  </si>
  <si>
    <t>ANR</t>
  </si>
  <si>
    <t>TX Gas FT T-3819 (#29765) Zone 4</t>
  </si>
  <si>
    <t>TX Gas NNS N-0435 (#29763) Zone 4</t>
  </si>
  <si>
    <t>TX Gas FT 31097 Zone 4</t>
  </si>
  <si>
    <t>2014 - 2015 Design Day and RFP Plan Summary</t>
  </si>
  <si>
    <t>2014 - 2015 Normalized Sales Requirements Summary Excluding Transportation</t>
  </si>
  <si>
    <t>File Last Updated:    July 15, 2014   4:37 PM</t>
  </si>
  <si>
    <t>Atmos Winter Only Model Used.  Data Sample: 03/02/2005 04/01/2005 10/31/2005 04/01/2006 10/31/2006 04/01/2007 10/31/2007 04/01/2008 10/31/2008 04/01/2009 10/31/2009 04/01/2010 10/31/2010 04/01/2011 10/31/2011 04/01/2012 10/31/2012 04/01/2013 10/31/2013 03/31/2014</t>
  </si>
  <si>
    <t>Data Sample: 03/02/2005 04/01/2005 10/31/2005 04/01/2006 10/31/2006 04/01/2007 10/31/2007 04/01/2008 10/31/2008 04/01/2009 10/31/2009 04/01/2010 10/31/2010 04/01/2011 10/31/2011 04/01/2012 10/31/2012 04/01/2013 10/31/2013 03/31/2014</t>
  </si>
  <si>
    <t>Comments: 2013-2014 Des Day = 48,987 Dth Stability  Ann Rqmts = 3,444,384 Dth; Wtr Rqmts = 2,523,549 Dth; Ice Storm days deleted</t>
  </si>
  <si>
    <t>Expires 3/31/2017</t>
  </si>
  <si>
    <t>Expires 10/31/2015</t>
  </si>
  <si>
    <t>File Last Updated:    July 15, 2014   4:25 PM</t>
  </si>
  <si>
    <t>Atmos Winter Only Model Used.  Data Sample: 11/02/2005 04/01/2006 10/31/2006 04/01/2007 10/31/2007 04/01/2008 10/31/2008 04/01/2009 10/31/2009 04/01/2010 10/31/2010 04/01/2011 10/31/2011 04/01/2012 10/31/2012 04/01/2013 10/31/2013 03/31/2014</t>
  </si>
  <si>
    <t>Data Sample: 11/02/2005 04/01/2006 10/31/2006 04/01/2007 10/31/2007 04/01/2008 10/31/2008 04/01/2009 10/31/2009 04/01/2010 10/31/2010 04/01/2011 10/31/2011 04/01/2012 10/31/2012 04/01/2013 10/31/2013 03/31/2014</t>
  </si>
  <si>
    <t>Comments: 2013-2014 Des Day = 639 Dth Stability; Ann Rqmts = 38,617 Dth; Wtr Rqmts = 29,403 Dth; Ice Storm Days Deleted</t>
  </si>
  <si>
    <t>Part of Texas Gas Zone 3 North</t>
  </si>
  <si>
    <t>File Last Updated:    July 15, 2014   4:43 PM</t>
  </si>
  <si>
    <t>Atmos Winter Only Model Used.  Data Sample: 03/07/2004 04/01/2004 10/31/2004 04/01/2005 10/31/2005 04/01/2006 10/31/2006 04/01/2007 10/31/2007 04/01/2008 10/31/2008 04/01/2009 10/31/2009 04/01/2010 10/31/2010 04/01/2011 10/31/2011 04/01/2012 10/31/2012 04/01/2013 10/31/2013 03/31/2014</t>
  </si>
  <si>
    <t>Data Sample: 03/07/2004 04/01/2004 10/31/2004 04/01/2005 10/31/2005 04/01/2006 10/31/2006 04/01/2007 10/31/2007 04/01/2008 10/31/2008 04/01/2009 10/31/2009 04/01/2010 10/31/2010 04/01/2011 10/31/2011 04/01/2012 10/31/2012 04/01/2013 10/31/2013 03/31/2014</t>
  </si>
  <si>
    <t>Comments: 2013-2014 Des Day = 115,374 Dth Stability; Ann Rqmts = 7,577,864 Dth; Wtr Rqmts = 5,676,678 Dth; Ice Storm and bad data days deleted; Third Pty Ob = South study all data and Livermore stability study</t>
  </si>
  <si>
    <t>Use 1,850 of 6,328 Dth in Zone 4 and remainder in zone 3:  Expires 3/31/2015</t>
  </si>
  <si>
    <t>FTS-1 #122803-KY</t>
  </si>
  <si>
    <t>Expires 3/31/19</t>
  </si>
  <si>
    <t>File Last Updated:    July 16, 2014   7:51 AM</t>
  </si>
  <si>
    <t>Atmos Winter Only Model Used.  Data Sample: 11/02/2002 04/01/2003 10/31/2003 04/01/2004 10/31/2004 04/01/2005 10/31/2005 04/01/2006 10/31/2006 04/01/2007 10/31/2007 04/01/2008 10/31/2008 04/01/2009 10/31/2009 04/01/2010 10/31/2010 04/01/2011 10/31/2011 04/01/2012 10/31/2012 04/01/2013 10/31/2013 03/31/2014</t>
  </si>
  <si>
    <t>Data Sample: 11/02/2002 04/01/2003 10/31/2003 04/01/2004 10/31/2004 04/01/2005 10/31/2005 04/01/2006 10/31/2006 04/01/2007 10/31/2007 04/01/2008 10/31/2008 04/01/2009 10/31/2009 04/01/2010 10/31/2010 04/01/2011 10/31/2011 04/01/2012 10/31/2012 04/01/2013 10/31/2013 03/31/2014</t>
  </si>
  <si>
    <t>Comments: 2013-2014 Des Day = 70,585 Dth All Data; Ann Rqmts = 4,386,667 Dth; Wtr Rqmts = 3,335,764 Dth; Ice Storm days deleted; Third Pty Obligation is North study and Livermore stability</t>
  </si>
  <si>
    <t>File Last Updated:    July 16, 2014   10:23 AM</t>
  </si>
  <si>
    <t>Atmos Winter Only Model Used.  STABILITY TEST DOES NOT MEET MINIMUM TIME PERIOD REQUIREMENTS</t>
  </si>
  <si>
    <t>STABILITY TEST DOES NOT MEET MINIMUM TIME PERIOD REQUIREMENTS</t>
  </si>
  <si>
    <t>Comments: 2013-2014 Des Day = 19,092 Dth Stability; Ann Rqmts = 1,114,864 Dth; Wtr Rqmts = 874,775 Dth; Ice Storm days deleted</t>
  </si>
  <si>
    <t>Use 1,850 in Zone 4 and remainder in zone 3:  Expires 3/31/2015</t>
  </si>
  <si>
    <t xml:space="preserve">Midwestern </t>
  </si>
  <si>
    <t>Owensboro Storage Group Withdrawals *</t>
  </si>
  <si>
    <t>Madisonville Storage Group Whitdrawals *</t>
  </si>
  <si>
    <t>Total ANR Purchase</t>
  </si>
  <si>
    <t>Total Midwest Purchase</t>
  </si>
  <si>
    <t xml:space="preserve"> ANR Pipeline PEAKING (6k/d) Fayetteville</t>
  </si>
  <si>
    <t>East Diamond Storage Withdrawals SCULPTED **</t>
  </si>
  <si>
    <t xml:space="preserve">                                                              Jan 2015   20k for 15 day</t>
  </si>
  <si>
    <t xml:space="preserve">  </t>
  </si>
  <si>
    <t>.</t>
  </si>
  <si>
    <t>** East Diamond Sculpted Withdrawals  -   Dec 2014  20k for 10 days</t>
  </si>
  <si>
    <t>amt to w/d</t>
  </si>
  <si>
    <t xml:space="preserve">                                                              Feb 2015  20k for 15 day and 15k for 14 days</t>
  </si>
  <si>
    <t xml:space="preserve">                                                              Mar 2015 15k for 16 day and 7500 for 15 days</t>
  </si>
  <si>
    <t>Bon Harbor - planned balances</t>
  </si>
  <si>
    <t>Grandview - planned balances</t>
  </si>
  <si>
    <t>Hickory - planned balances</t>
  </si>
  <si>
    <t>monthly</t>
  </si>
  <si>
    <t>daily</t>
  </si>
  <si>
    <t>Kirkwood - planned balances</t>
  </si>
  <si>
    <t>St. Charles -   planned balances</t>
  </si>
  <si>
    <t xml:space="preserve"> *  For company owned and East Diamond storage, intention is to stick to monthly plan withdrawals, but do not anticipate rateable withdrawals throughout the month.</t>
  </si>
  <si>
    <t>The above storage plan is for general planning purposes only - actual daily withdrawals will be sculpted throughout the month, including weekends.</t>
  </si>
  <si>
    <r>
      <rPr>
        <b/>
        <sz val="10.5"/>
        <color rgb="FFFF0000"/>
        <rFont val="Arial"/>
        <family val="2"/>
      </rPr>
      <t>PROJECTED</t>
    </r>
    <r>
      <rPr>
        <b/>
        <sz val="14"/>
        <rFont val="Arial"/>
        <family val="2"/>
      </rPr>
      <t xml:space="preserve"> Winter 2015-2016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</si>
</sst>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mm/dd/yyyy"/>
    <numFmt numFmtId="167" formatCode="0.00%;[Red]\(0.00%\)"/>
  </numFmts>
  <fonts count="3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2"/>
      <name val="Arial"/>
      <family val="2"/>
    </font>
    <font>
      <u val="singleAccounting"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6"/>
      <name val="Helv"/>
    </font>
    <font>
      <sz val="11"/>
      <name val="Calibri"/>
      <family val="2"/>
    </font>
    <font>
      <sz val="11"/>
      <name val="Times New Roman"/>
      <family val="1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11"/>
      <color indexed="12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b/>
      <sz val="10.5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7" fillId="0" borderId="0">
      <alignment horizontal="left" vertical="center" indent="1"/>
    </xf>
    <xf numFmtId="165" fontId="22" fillId="0" borderId="0"/>
    <xf numFmtId="0" fontId="23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1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/>
    <xf numFmtId="14" fontId="6" fillId="0" borderId="0" xfId="0" applyNumberFormat="1" applyFont="1"/>
    <xf numFmtId="0" fontId="7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4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3" fontId="0" fillId="0" borderId="8" xfId="0" applyNumberFormat="1" applyBorder="1"/>
    <xf numFmtId="3" fontId="0" fillId="0" borderId="1" xfId="0" applyNumberFormat="1" applyBorder="1"/>
    <xf numFmtId="3" fontId="0" fillId="0" borderId="8" xfId="0" applyNumberFormat="1" applyFill="1" applyBorder="1"/>
    <xf numFmtId="3" fontId="0" fillId="0" borderId="0" xfId="0" applyNumberFormat="1" applyBorder="1"/>
    <xf numFmtId="0" fontId="0" fillId="0" borderId="0" xfId="0" applyFill="1"/>
    <xf numFmtId="3" fontId="0" fillId="0" borderId="0" xfId="0" applyNumberFormat="1" applyFill="1" applyBorder="1"/>
    <xf numFmtId="3" fontId="0" fillId="0" borderId="7" xfId="0" applyNumberFormat="1" applyBorder="1"/>
    <xf numFmtId="3" fontId="0" fillId="0" borderId="5" xfId="0" applyNumberFormat="1" applyBorder="1"/>
    <xf numFmtId="3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164" fontId="1" fillId="0" borderId="0" xfId="1" applyNumberFormat="1" applyFill="1"/>
    <xf numFmtId="164" fontId="0" fillId="0" borderId="0" xfId="0" applyNumberFormat="1" applyFill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164" fontId="0" fillId="0" borderId="0" xfId="0" applyNumberFormat="1" applyBorder="1"/>
    <xf numFmtId="9" fontId="0" fillId="0" borderId="0" xfId="0" applyNumberFormat="1"/>
    <xf numFmtId="3" fontId="5" fillId="0" borderId="12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16" xfId="0" applyNumberFormat="1" applyFont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3" fontId="0" fillId="0" borderId="0" xfId="0" applyNumberFormat="1" applyFill="1"/>
    <xf numFmtId="164" fontId="9" fillId="0" borderId="0" xfId="2" applyNumberFormat="1"/>
    <xf numFmtId="3" fontId="0" fillId="0" borderId="6" xfId="0" applyNumberFormat="1" applyBorder="1"/>
    <xf numFmtId="164" fontId="9" fillId="0" borderId="0" xfId="2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1" applyNumberFormat="1"/>
    <xf numFmtId="164" fontId="1" fillId="0" borderId="0" xfId="1" applyNumberFormat="1" applyFont="1"/>
    <xf numFmtId="164" fontId="0" fillId="0" borderId="0" xfId="0" applyNumberForma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horizontal="center"/>
    </xf>
    <xf numFmtId="0" fontId="0" fillId="0" borderId="22" xfId="0" applyFill="1" applyBorder="1"/>
    <xf numFmtId="16" fontId="0" fillId="0" borderId="0" xfId="0" quotePrefix="1" applyNumberFormat="1" applyAlignment="1">
      <alignment horizontal="center"/>
    </xf>
    <xf numFmtId="0" fontId="5" fillId="0" borderId="22" xfId="0" applyFont="1" applyBorder="1" applyAlignment="1">
      <alignment horizontal="center"/>
    </xf>
    <xf numFmtId="9" fontId="15" fillId="0" borderId="0" xfId="0" applyNumberFormat="1" applyFont="1" applyAlignment="1">
      <alignment horizontal="center"/>
    </xf>
    <xf numFmtId="164" fontId="15" fillId="0" borderId="0" xfId="1" applyNumberFormat="1" applyFont="1"/>
    <xf numFmtId="164" fontId="1" fillId="0" borderId="21" xfId="1" applyNumberFormat="1" applyBorder="1"/>
    <xf numFmtId="164" fontId="1" fillId="0" borderId="22" xfId="1" applyNumberFormat="1" applyBorder="1"/>
    <xf numFmtId="164" fontId="16" fillId="0" borderId="0" xfId="1" applyNumberFormat="1" applyFont="1"/>
    <xf numFmtId="164" fontId="1" fillId="0" borderId="6" xfId="1" applyNumberFormat="1" applyBorder="1"/>
    <xf numFmtId="164" fontId="1" fillId="0" borderId="23" xfId="1" applyNumberFormat="1" applyBorder="1"/>
    <xf numFmtId="164" fontId="17" fillId="0" borderId="21" xfId="1" applyNumberFormat="1" applyFont="1" applyBorder="1"/>
    <xf numFmtId="164" fontId="17" fillId="0" borderId="21" xfId="0" applyNumberFormat="1" applyFont="1" applyBorder="1"/>
    <xf numFmtId="164" fontId="0" fillId="0" borderId="22" xfId="0" applyNumberFormat="1" applyBorder="1"/>
    <xf numFmtId="164" fontId="5" fillId="0" borderId="22" xfId="1" applyNumberFormat="1" applyFont="1" applyBorder="1"/>
    <xf numFmtId="164" fontId="18" fillId="0" borderId="21" xfId="1" applyNumberFormat="1" applyFont="1" applyBorder="1"/>
    <xf numFmtId="164" fontId="1" fillId="0" borderId="21" xfId="1" applyNumberFormat="1" applyFont="1" applyBorder="1"/>
    <xf numFmtId="164" fontId="5" fillId="0" borderId="22" xfId="0" applyNumberFormat="1" applyFont="1" applyBorder="1"/>
    <xf numFmtId="9" fontId="1" fillId="0" borderId="22" xfId="21" applyBorder="1"/>
    <xf numFmtId="164" fontId="0" fillId="0" borderId="21" xfId="0" applyNumberFormat="1" applyBorder="1"/>
    <xf numFmtId="164" fontId="5" fillId="0" borderId="21" xfId="1" applyNumberFormat="1" applyFont="1" applyBorder="1"/>
    <xf numFmtId="9" fontId="15" fillId="0" borderId="22" xfId="0" applyNumberFormat="1" applyFont="1" applyBorder="1" applyAlignment="1">
      <alignment horizontal="left"/>
    </xf>
    <xf numFmtId="9" fontId="12" fillId="0" borderId="22" xfId="0" applyNumberFormat="1" applyFont="1" applyBorder="1" applyAlignment="1">
      <alignment horizontal="left"/>
    </xf>
    <xf numFmtId="164" fontId="19" fillId="0" borderId="24" xfId="1" applyNumberFormat="1" applyFont="1" applyBorder="1"/>
    <xf numFmtId="9" fontId="15" fillId="0" borderId="25" xfId="0" applyNumberFormat="1" applyFont="1" applyBorder="1" applyAlignment="1">
      <alignment horizontal="left"/>
    </xf>
    <xf numFmtId="9" fontId="12" fillId="0" borderId="25" xfId="0" applyNumberFormat="1" applyFont="1" applyBorder="1" applyAlignment="1">
      <alignment horizontal="left"/>
    </xf>
    <xf numFmtId="164" fontId="11" fillId="0" borderId="24" xfId="1" applyNumberFormat="1" applyFont="1" applyBorder="1"/>
    <xf numFmtId="9" fontId="15" fillId="0" borderId="0" xfId="21" applyFont="1" applyAlignment="1">
      <alignment horizontal="center"/>
    </xf>
    <xf numFmtId="9" fontId="18" fillId="0" borderId="0" xfId="21" applyNumberFormat="1" applyFont="1" applyAlignment="1">
      <alignment horizontal="center"/>
    </xf>
    <xf numFmtId="9" fontId="0" fillId="0" borderId="0" xfId="0" applyNumberFormat="1" applyAlignment="1"/>
    <xf numFmtId="164" fontId="15" fillId="0" borderId="6" xfId="1" applyNumberFormat="1" applyFont="1" applyBorder="1"/>
    <xf numFmtId="164" fontId="18" fillId="0" borderId="6" xfId="1" applyNumberFormat="1" applyFont="1" applyBorder="1"/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4" xfId="0" applyBorder="1"/>
    <xf numFmtId="164" fontId="0" fillId="0" borderId="27" xfId="0" applyNumberFormat="1" applyBorder="1"/>
    <xf numFmtId="9" fontId="0" fillId="0" borderId="25" xfId="0" applyNumberFormat="1" applyBorder="1" applyAlignment="1">
      <alignment horizontal="center"/>
    </xf>
    <xf numFmtId="164" fontId="0" fillId="0" borderId="24" xfId="0" applyNumberFormat="1" applyBorder="1"/>
    <xf numFmtId="9" fontId="1" fillId="0" borderId="25" xfId="21" applyBorder="1" applyAlignment="1">
      <alignment horizontal="center"/>
    </xf>
    <xf numFmtId="164" fontId="1" fillId="0" borderId="27" xfId="1" applyNumberFormat="1" applyBorder="1"/>
    <xf numFmtId="9" fontId="1" fillId="0" borderId="0" xfId="21" applyAlignment="1">
      <alignment horizontal="center"/>
    </xf>
    <xf numFmtId="9" fontId="0" fillId="0" borderId="22" xfId="0" applyNumberFormat="1" applyBorder="1" applyAlignment="1">
      <alignment horizontal="center"/>
    </xf>
    <xf numFmtId="164" fontId="0" fillId="0" borderId="28" xfId="0" applyNumberFormat="1" applyBorder="1"/>
    <xf numFmtId="0" fontId="0" fillId="0" borderId="22" xfId="0" applyBorder="1" applyAlignment="1">
      <alignment horizontal="center"/>
    </xf>
    <xf numFmtId="164" fontId="0" fillId="0" borderId="13" xfId="0" applyNumberFormat="1" applyBorder="1"/>
    <xf numFmtId="0" fontId="0" fillId="0" borderId="27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9" fontId="0" fillId="0" borderId="0" xfId="0" applyNumberFormat="1" applyAlignment="1">
      <alignment horizontal="center"/>
    </xf>
    <xf numFmtId="9" fontId="0" fillId="0" borderId="0" xfId="21" applyFont="1"/>
    <xf numFmtId="3" fontId="0" fillId="0" borderId="1" xfId="0" applyNumberFormat="1" applyFill="1" applyBorder="1"/>
    <xf numFmtId="3" fontId="0" fillId="0" borderId="10" xfId="0" applyNumberFormat="1" applyFill="1" applyBorder="1"/>
    <xf numFmtId="164" fontId="9" fillId="0" borderId="8" xfId="2" applyNumberFormat="1" applyFill="1" applyBorder="1"/>
    <xf numFmtId="164" fontId="9" fillId="0" borderId="0" xfId="2" applyNumberFormat="1" applyFill="1" applyBorder="1" applyAlignment="1">
      <alignment horizontal="center"/>
    </xf>
    <xf numFmtId="164" fontId="9" fillId="0" borderId="0" xfId="2" applyNumberFormat="1" applyFill="1" applyBorder="1"/>
    <xf numFmtId="9" fontId="0" fillId="0" borderId="0" xfId="21" applyFont="1" applyFill="1"/>
    <xf numFmtId="0" fontId="0" fillId="0" borderId="10" xfId="0" applyBorder="1"/>
    <xf numFmtId="38" fontId="0" fillId="0" borderId="4" xfId="0" applyNumberForma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38" fontId="0" fillId="0" borderId="9" xfId="0" applyNumberFormat="1" applyBorder="1"/>
    <xf numFmtId="0" fontId="0" fillId="0" borderId="0" xfId="0" applyAlignment="1">
      <alignment horizontal="right"/>
    </xf>
    <xf numFmtId="164" fontId="28" fillId="0" borderId="0" xfId="1" applyNumberFormat="1" applyFont="1"/>
    <xf numFmtId="164" fontId="28" fillId="0" borderId="0" xfId="0" applyNumberFormat="1" applyFont="1"/>
    <xf numFmtId="164" fontId="5" fillId="0" borderId="0" xfId="0" applyNumberFormat="1" applyFont="1"/>
    <xf numFmtId="0" fontId="5" fillId="0" borderId="0" xfId="0" applyFont="1"/>
    <xf numFmtId="3" fontId="0" fillId="0" borderId="7" xfId="0" applyNumberFormat="1" applyFill="1" applyBorder="1"/>
    <xf numFmtId="3" fontId="0" fillId="0" borderId="11" xfId="0" applyNumberFormat="1" applyFill="1" applyBorder="1"/>
    <xf numFmtId="3" fontId="5" fillId="2" borderId="12" xfId="0" applyNumberFormat="1" applyFont="1" applyFill="1" applyBorder="1"/>
    <xf numFmtId="3" fontId="5" fillId="2" borderId="13" xfId="0" applyNumberFormat="1" applyFont="1" applyFill="1" applyBorder="1"/>
    <xf numFmtId="3" fontId="5" fillId="2" borderId="14" xfId="0" applyNumberFormat="1" applyFont="1" applyFill="1" applyBorder="1"/>
    <xf numFmtId="3" fontId="5" fillId="2" borderId="29" xfId="0" applyNumberFormat="1" applyFont="1" applyFill="1" applyBorder="1"/>
    <xf numFmtId="3" fontId="5" fillId="0" borderId="8" xfId="0" applyNumberFormat="1" applyFont="1" applyBorder="1"/>
    <xf numFmtId="3" fontId="9" fillId="0" borderId="0" xfId="0" applyNumberFormat="1" applyFont="1" applyFill="1" applyBorder="1"/>
    <xf numFmtId="3" fontId="9" fillId="0" borderId="1" xfId="0" applyNumberFormat="1" applyFont="1" applyFill="1" applyBorder="1"/>
    <xf numFmtId="3" fontId="9" fillId="0" borderId="10" xfId="0" applyNumberFormat="1" applyFont="1" applyFill="1" applyBorder="1"/>
    <xf numFmtId="0" fontId="4" fillId="0" borderId="0" xfId="0" applyFont="1" applyFill="1"/>
    <xf numFmtId="0" fontId="23" fillId="0" borderId="0" xfId="6"/>
    <xf numFmtId="0" fontId="9" fillId="0" borderId="8" xfId="0" applyFont="1" applyBorder="1"/>
    <xf numFmtId="0" fontId="9" fillId="0" borderId="0" xfId="0" applyFont="1" applyBorder="1"/>
    <xf numFmtId="0" fontId="9" fillId="0" borderId="1" xfId="0" applyFont="1" applyBorder="1"/>
    <xf numFmtId="0" fontId="0" fillId="0" borderId="7" xfId="0" applyBorder="1"/>
    <xf numFmtId="0" fontId="0" fillId="0" borderId="6" xfId="0" applyBorder="1"/>
    <xf numFmtId="49" fontId="5" fillId="0" borderId="7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3" borderId="9" xfId="0" applyFont="1" applyFill="1" applyBorder="1"/>
    <xf numFmtId="0" fontId="5" fillId="3" borderId="15" xfId="0" applyFont="1" applyFill="1" applyBorder="1" applyAlignment="1">
      <alignment horizontal="centerContinuous"/>
    </xf>
    <xf numFmtId="0" fontId="5" fillId="3" borderId="16" xfId="0" applyFont="1" applyFill="1" applyBorder="1" applyAlignment="1">
      <alignment horizontal="centerContinuous"/>
    </xf>
    <xf numFmtId="0" fontId="5" fillId="3" borderId="17" xfId="0" applyFont="1" applyFill="1" applyBorder="1" applyAlignment="1">
      <alignment horizontal="centerContinuous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4" xfId="0" applyFont="1" applyFill="1" applyBorder="1" applyAlignment="1">
      <alignment horizontal="left"/>
    </xf>
    <xf numFmtId="10" fontId="9" fillId="0" borderId="9" xfId="0" applyNumberFormat="1" applyFont="1" applyBorder="1" applyAlignment="1"/>
    <xf numFmtId="0" fontId="5" fillId="3" borderId="8" xfId="0" applyFont="1" applyFill="1" applyBorder="1"/>
    <xf numFmtId="0" fontId="5" fillId="3" borderId="1" xfId="0" applyFont="1" applyFill="1" applyBorder="1"/>
    <xf numFmtId="38" fontId="9" fillId="0" borderId="9" xfId="0" applyNumberFormat="1" applyFont="1" applyFill="1" applyBorder="1" applyAlignment="1">
      <alignment horizontal="center"/>
    </xf>
    <xf numFmtId="166" fontId="9" fillId="0" borderId="9" xfId="0" applyNumberFormat="1" applyFont="1" applyFill="1" applyBorder="1" applyAlignment="1">
      <alignment horizontal="center"/>
    </xf>
    <xf numFmtId="14" fontId="9" fillId="0" borderId="9" xfId="0" applyNumberFormat="1" applyFont="1" applyFill="1" applyBorder="1" applyAlignment="1">
      <alignment horizontal="center"/>
    </xf>
    <xf numFmtId="38" fontId="5" fillId="0" borderId="8" xfId="0" applyNumberFormat="1" applyFont="1" applyBorder="1" applyAlignment="1">
      <alignment horizontal="centerContinuous"/>
    </xf>
    <xf numFmtId="38" fontId="0" fillId="0" borderId="1" xfId="0" applyNumberFormat="1" applyBorder="1" applyAlignment="1">
      <alignment horizontal="centerContinuous"/>
    </xf>
    <xf numFmtId="0" fontId="5" fillId="3" borderId="8" xfId="0" applyFont="1" applyFill="1" applyBorder="1" applyAlignment="1">
      <alignment horizontal="left"/>
    </xf>
    <xf numFmtId="38" fontId="9" fillId="0" borderId="10" xfId="0" applyNumberFormat="1" applyFont="1" applyFill="1" applyBorder="1" applyAlignment="1">
      <alignment horizontal="right"/>
    </xf>
    <xf numFmtId="38" fontId="9" fillId="0" borderId="10" xfId="0" applyNumberFormat="1" applyFont="1" applyFill="1" applyBorder="1" applyAlignment="1">
      <alignment horizontal="center"/>
    </xf>
    <xf numFmtId="166" fontId="9" fillId="0" borderId="10" xfId="0" applyNumberFormat="1" applyFont="1" applyFill="1" applyBorder="1" applyAlignment="1">
      <alignment horizontal="center"/>
    </xf>
    <xf numFmtId="14" fontId="9" fillId="0" borderId="10" xfId="0" applyNumberFormat="1" applyFont="1" applyFill="1" applyBorder="1" applyAlignment="1">
      <alignment horizontal="center"/>
    </xf>
    <xf numFmtId="0" fontId="5" fillId="3" borderId="11" xfId="0" applyFont="1" applyFill="1" applyBorder="1"/>
    <xf numFmtId="166" fontId="5" fillId="3" borderId="1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8" fontId="9" fillId="0" borderId="10" xfId="0" applyNumberFormat="1" applyFont="1" applyBorder="1"/>
    <xf numFmtId="166" fontId="0" fillId="0" borderId="9" xfId="0" applyNumberFormat="1" applyBorder="1" applyAlignment="1">
      <alignment horizontal="center"/>
    </xf>
    <xf numFmtId="38" fontId="9" fillId="0" borderId="9" xfId="1" applyNumberFormat="1" applyFont="1" applyBorder="1" applyAlignment="1"/>
    <xf numFmtId="0" fontId="5" fillId="3" borderId="7" xfId="0" applyFont="1" applyFill="1" applyBorder="1"/>
    <xf numFmtId="0" fontId="5" fillId="3" borderId="5" xfId="0" applyFont="1" applyFill="1" applyBorder="1"/>
    <xf numFmtId="38" fontId="9" fillId="0" borderId="11" xfId="0" applyNumberFormat="1" applyFont="1" applyFill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38" fontId="9" fillId="0" borderId="11" xfId="1" applyNumberFormat="1" applyFont="1" applyBorder="1" applyAlignment="1"/>
    <xf numFmtId="0" fontId="26" fillId="3" borderId="9" xfId="0" applyFont="1" applyFill="1" applyBorder="1" applyAlignment="1">
      <alignment horizontal="centerContinuous" vertical="center"/>
    </xf>
    <xf numFmtId="0" fontId="5" fillId="3" borderId="15" xfId="0" applyFont="1" applyFill="1" applyBorder="1" applyAlignment="1">
      <alignment horizontal="centerContinuous" vertical="center"/>
    </xf>
    <xf numFmtId="0" fontId="5" fillId="3" borderId="16" xfId="0" applyFont="1" applyFill="1" applyBorder="1" applyAlignment="1">
      <alignment horizontal="centerContinuous" vertical="center"/>
    </xf>
    <xf numFmtId="0" fontId="5" fillId="3" borderId="17" xfId="0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left"/>
    </xf>
    <xf numFmtId="38" fontId="5" fillId="0" borderId="11" xfId="0" applyNumberFormat="1" applyFont="1" applyFill="1" applyBorder="1" applyAlignment="1">
      <alignment horizontal="right"/>
    </xf>
    <xf numFmtId="0" fontId="5" fillId="3" borderId="11" xfId="0" applyFont="1" applyFill="1" applyBorder="1" applyAlignment="1">
      <alignment horizontal="center"/>
    </xf>
    <xf numFmtId="38" fontId="9" fillId="3" borderId="17" xfId="0" applyNumberFormat="1" applyFont="1" applyFill="1" applyBorder="1" applyAlignment="1">
      <alignment horizontal="centerContinuous"/>
    </xf>
    <xf numFmtId="38" fontId="9" fillId="0" borderId="9" xfId="0" applyNumberFormat="1" applyFont="1" applyBorder="1"/>
    <xf numFmtId="38" fontId="9" fillId="0" borderId="9" xfId="0" applyNumberFormat="1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38" fontId="0" fillId="0" borderId="10" xfId="0" applyNumberFormat="1" applyBorder="1"/>
    <xf numFmtId="0" fontId="5" fillId="3" borderId="10" xfId="0" applyFont="1" applyFill="1" applyBorder="1" applyAlignment="1">
      <alignment horizontal="left"/>
    </xf>
    <xf numFmtId="167" fontId="5" fillId="0" borderId="10" xfId="0" applyNumberFormat="1" applyFont="1" applyBorder="1"/>
    <xf numFmtId="0" fontId="5" fillId="3" borderId="11" xfId="0" applyFont="1" applyFill="1" applyBorder="1" applyAlignment="1">
      <alignment horizontal="left"/>
    </xf>
    <xf numFmtId="167" fontId="9" fillId="0" borderId="11" xfId="0" applyNumberFormat="1" applyFont="1" applyBorder="1"/>
    <xf numFmtId="0" fontId="0" fillId="0" borderId="4" xfId="0" applyBorder="1"/>
    <xf numFmtId="38" fontId="5" fillId="0" borderId="2" xfId="0" applyNumberFormat="1" applyFont="1" applyBorder="1"/>
    <xf numFmtId="0" fontId="5" fillId="0" borderId="2" xfId="0" applyFont="1" applyBorder="1"/>
    <xf numFmtId="0" fontId="0" fillId="0" borderId="3" xfId="0" applyBorder="1"/>
    <xf numFmtId="0" fontId="9" fillId="0" borderId="9" xfId="0" applyFont="1" applyBorder="1"/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38" fontId="9" fillId="0" borderId="2" xfId="0" applyNumberFormat="1" applyFont="1" applyBorder="1"/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0" xfId="0" applyFont="1" applyBorder="1"/>
    <xf numFmtId="0" fontId="9" fillId="0" borderId="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38" fontId="9" fillId="0" borderId="0" xfId="0" applyNumberFormat="1" applyFont="1" applyBorder="1"/>
    <xf numFmtId="0" fontId="5" fillId="3" borderId="18" xfId="0" applyFont="1" applyFill="1" applyBorder="1" applyAlignment="1">
      <alignment horizontal="right"/>
    </xf>
    <xf numFmtId="41" fontId="5" fillId="3" borderId="18" xfId="0" applyNumberFormat="1" applyFont="1" applyFill="1" applyBorder="1"/>
    <xf numFmtId="0" fontId="5" fillId="0" borderId="4" xfId="0" applyFont="1" applyFill="1" applyBorder="1" applyAlignment="1">
      <alignment horizontal="right"/>
    </xf>
    <xf numFmtId="41" fontId="5" fillId="0" borderId="2" xfId="0" applyNumberFormat="1" applyFont="1" applyFill="1" applyBorder="1"/>
    <xf numFmtId="41" fontId="5" fillId="0" borderId="3" xfId="0" applyNumberFormat="1" applyFont="1" applyFill="1" applyBorder="1"/>
    <xf numFmtId="0" fontId="9" fillId="0" borderId="11" xfId="0" applyFont="1" applyBorder="1"/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8" fontId="9" fillId="0" borderId="6" xfId="0" applyNumberFormat="1" applyFont="1" applyBorder="1"/>
    <xf numFmtId="38" fontId="9" fillId="0" borderId="11" xfId="0" applyNumberFormat="1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5" fillId="3" borderId="16" xfId="0" applyFont="1" applyFill="1" applyBorder="1" applyAlignment="1">
      <alignment horizontal="right"/>
    </xf>
    <xf numFmtId="38" fontId="5" fillId="3" borderId="18" xfId="0" applyNumberFormat="1" applyFont="1" applyFill="1" applyBorder="1" applyAlignment="1">
      <alignment horizontal="right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38" fontId="5" fillId="4" borderId="0" xfId="0" applyNumberFormat="1" applyFont="1" applyFill="1" applyBorder="1"/>
    <xf numFmtId="0" fontId="5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8" fontId="9" fillId="0" borderId="3" xfId="0" applyNumberFormat="1" applyFont="1" applyBorder="1"/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38" fontId="9" fillId="0" borderId="1" xfId="0" applyNumberFormat="1" applyFont="1" applyBorder="1"/>
    <xf numFmtId="38" fontId="9" fillId="0" borderId="5" xfId="0" applyNumberFormat="1" applyFont="1" applyBorder="1"/>
    <xf numFmtId="0" fontId="9" fillId="0" borderId="0" xfId="6" applyFont="1"/>
    <xf numFmtId="0" fontId="9" fillId="5" borderId="0" xfId="0" applyFont="1" applyFill="1" applyBorder="1" applyAlignment="1">
      <alignment horizontal="left"/>
    </xf>
    <xf numFmtId="3" fontId="5" fillId="0" borderId="8" xfId="0" applyNumberFormat="1" applyFont="1" applyFill="1" applyBorder="1"/>
    <xf numFmtId="3" fontId="0" fillId="0" borderId="0" xfId="0" applyNumberFormat="1" applyFill="1" applyBorder="1" applyAlignment="1">
      <alignment horizontal="center"/>
    </xf>
    <xf numFmtId="0" fontId="4" fillId="0" borderId="0" xfId="0" applyFont="1"/>
    <xf numFmtId="3" fontId="5" fillId="0" borderId="2" xfId="0" applyNumberFormat="1" applyFont="1" applyBorder="1"/>
    <xf numFmtId="3" fontId="9" fillId="0" borderId="30" xfId="0" applyNumberFormat="1" applyFont="1" applyFill="1" applyBorder="1"/>
    <xf numFmtId="3" fontId="0" fillId="0" borderId="16" xfId="0" applyNumberFormat="1" applyBorder="1"/>
    <xf numFmtId="3" fontId="0" fillId="0" borderId="17" xfId="0" applyNumberFormat="1" applyBorder="1"/>
    <xf numFmtId="3" fontId="9" fillId="0" borderId="14" xfId="0" applyNumberFormat="1" applyFont="1" applyFill="1" applyBorder="1"/>
    <xf numFmtId="0" fontId="0" fillId="0" borderId="0" xfId="0" applyFill="1" applyAlignment="1">
      <alignment horizontal="right"/>
    </xf>
    <xf numFmtId="164" fontId="29" fillId="0" borderId="0" xfId="1" applyNumberFormat="1" applyFont="1" applyFill="1" applyAlignment="1">
      <alignment horizontal="right"/>
    </xf>
    <xf numFmtId="164" fontId="29" fillId="0" borderId="0" xfId="21" applyNumberFormat="1" applyFont="1" applyFill="1"/>
    <xf numFmtId="164" fontId="29" fillId="0" borderId="0" xfId="1" applyNumberFormat="1" applyFont="1" applyFill="1"/>
    <xf numFmtId="0" fontId="0" fillId="0" borderId="3" xfId="0" applyFill="1" applyBorder="1" applyAlignment="1">
      <alignment horizontal="center"/>
    </xf>
    <xf numFmtId="164" fontId="15" fillId="0" borderId="0" xfId="1" applyNumberFormat="1" applyFont="1" applyBorder="1"/>
    <xf numFmtId="164" fontId="1" fillId="0" borderId="0" xfId="1" applyNumberFormat="1" applyBorder="1"/>
    <xf numFmtId="164" fontId="5" fillId="0" borderId="0" xfId="0" applyNumberFormat="1" applyFont="1" applyBorder="1" applyAlignment="1">
      <alignment horizontal="center"/>
    </xf>
    <xf numFmtId="0" fontId="0" fillId="0" borderId="19" xfId="0" applyBorder="1"/>
    <xf numFmtId="164" fontId="15" fillId="0" borderId="26" xfId="1" applyNumberFormat="1" applyFont="1" applyBorder="1"/>
    <xf numFmtId="164" fontId="1" fillId="0" borderId="26" xfId="1" applyNumberFormat="1" applyBorder="1"/>
    <xf numFmtId="9" fontId="5" fillId="0" borderId="26" xfId="21" applyNumberFormat="1" applyFont="1" applyBorder="1"/>
    <xf numFmtId="164" fontId="0" fillId="0" borderId="26" xfId="0" applyNumberFormat="1" applyBorder="1"/>
    <xf numFmtId="43" fontId="0" fillId="0" borderId="0" xfId="0" applyNumberFormat="1" applyBorder="1"/>
    <xf numFmtId="9" fontId="5" fillId="0" borderId="0" xfId="21" applyNumberFormat="1" applyFont="1" applyBorder="1"/>
    <xf numFmtId="164" fontId="5" fillId="0" borderId="22" xfId="0" applyNumberFormat="1" applyFont="1" applyBorder="1" applyAlignment="1">
      <alignment horizontal="center"/>
    </xf>
    <xf numFmtId="164" fontId="15" fillId="0" borderId="27" xfId="1" applyNumberFormat="1" applyFont="1" applyBorder="1"/>
    <xf numFmtId="164" fontId="0" fillId="0" borderId="27" xfId="0" applyNumberFormat="1" applyFill="1" applyBorder="1"/>
    <xf numFmtId="164" fontId="0" fillId="0" borderId="25" xfId="0" applyNumberFormat="1" applyFill="1" applyBorder="1"/>
    <xf numFmtId="164" fontId="0" fillId="0" borderId="25" xfId="0" applyNumberFormat="1" applyBorder="1"/>
    <xf numFmtId="9" fontId="0" fillId="0" borderId="20" xfId="21" applyNumberFormat="1" applyFont="1" applyBorder="1"/>
    <xf numFmtId="9" fontId="5" fillId="0" borderId="26" xfId="0" applyNumberFormat="1" applyFont="1" applyBorder="1"/>
    <xf numFmtId="164" fontId="0" fillId="0" borderId="20" xfId="0" applyNumberFormat="1" applyBorder="1"/>
    <xf numFmtId="164" fontId="12" fillId="0" borderId="0" xfId="1" applyNumberFormat="1" applyFont="1" applyBorder="1"/>
    <xf numFmtId="0" fontId="0" fillId="0" borderId="0" xfId="0" applyFill="1" applyBorder="1"/>
    <xf numFmtId="164" fontId="0" fillId="0" borderId="0" xfId="0" applyNumberFormat="1" applyFill="1" applyBorder="1"/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/>
    <xf numFmtId="3" fontId="33" fillId="0" borderId="1" xfId="0" applyNumberFormat="1" applyFont="1" applyFill="1" applyBorder="1"/>
    <xf numFmtId="0" fontId="34" fillId="0" borderId="19" xfId="0" applyFont="1" applyBorder="1" applyAlignment="1">
      <alignment horizontal="center"/>
    </xf>
    <xf numFmtId="0" fontId="0" fillId="0" borderId="9" xfId="0" applyBorder="1"/>
    <xf numFmtId="0" fontId="10" fillId="0" borderId="10" xfId="0" applyFont="1" applyBorder="1" applyAlignment="1">
      <alignment horizontal="left" indent="1"/>
    </xf>
    <xf numFmtId="0" fontId="10" fillId="0" borderId="11" xfId="0" applyFont="1" applyFill="1" applyBorder="1" applyAlignment="1">
      <alignment horizontal="left" indent="1"/>
    </xf>
    <xf numFmtId="0" fontId="5" fillId="0" borderId="18" xfId="0" applyFont="1" applyBorder="1" applyAlignment="1">
      <alignment horizontal="left" indent="3"/>
    </xf>
    <xf numFmtId="0" fontId="0" fillId="0" borderId="10" xfId="0" applyBorder="1" applyAlignment="1">
      <alignment horizontal="left" indent="3"/>
    </xf>
    <xf numFmtId="0" fontId="0" fillId="0" borderId="10" xfId="0" applyBorder="1" applyAlignment="1">
      <alignment horizontal="left" indent="1"/>
    </xf>
    <xf numFmtId="0" fontId="5" fillId="0" borderId="10" xfId="0" applyFont="1" applyFill="1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5" fillId="0" borderId="18" xfId="0" applyFont="1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0" fillId="0" borderId="11" xfId="0" applyBorder="1" applyAlignment="1">
      <alignment horizontal="left" indent="2"/>
    </xf>
    <xf numFmtId="0" fontId="5" fillId="0" borderId="11" xfId="0" applyFont="1" applyBorder="1"/>
    <xf numFmtId="0" fontId="5" fillId="0" borderId="10" xfId="0" applyFont="1" applyBorder="1"/>
    <xf numFmtId="0" fontId="0" fillId="0" borderId="10" xfId="0" applyFill="1" applyBorder="1"/>
    <xf numFmtId="0" fontId="0" fillId="0" borderId="11" xfId="0" applyBorder="1"/>
    <xf numFmtId="0" fontId="2" fillId="0" borderId="0" xfId="0" applyFont="1" applyFill="1"/>
    <xf numFmtId="0" fontId="10" fillId="5" borderId="11" xfId="0" applyFont="1" applyFill="1" applyBorder="1" applyAlignment="1">
      <alignment horizontal="left" indent="2"/>
    </xf>
    <xf numFmtId="0" fontId="5" fillId="5" borderId="10" xfId="0" applyFont="1" applyFill="1" applyBorder="1"/>
    <xf numFmtId="0" fontId="10" fillId="5" borderId="10" xfId="0" applyFont="1" applyFill="1" applyBorder="1" applyAlignment="1">
      <alignment horizontal="left" indent="1"/>
    </xf>
    <xf numFmtId="0" fontId="10" fillId="5" borderId="10" xfId="0" applyFont="1" applyFill="1" applyBorder="1"/>
    <xf numFmtId="0" fontId="0" fillId="0" borderId="0" xfId="0" applyAlignment="1"/>
    <xf numFmtId="17" fontId="0" fillId="0" borderId="8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4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25" fillId="6" borderId="0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22">
    <cellStyle name="Comma" xfId="1" builtinId="3"/>
    <cellStyle name="Comma 2" xfId="2"/>
    <cellStyle name="Comma 3" xfId="3"/>
    <cellStyle name="ContentsHyperlink" xfId="4"/>
    <cellStyle name="Normal" xfId="0" builtinId="0"/>
    <cellStyle name="Normal - Style1" xfId="5"/>
    <cellStyle name="Normal 2" xfId="6"/>
    <cellStyle name="Normal 24" xfId="7"/>
    <cellStyle name="Normal 25" xfId="8"/>
    <cellStyle name="Normal 3" xfId="9"/>
    <cellStyle name="Normal 31" xfId="10"/>
    <cellStyle name="Normal 32" xfId="11"/>
    <cellStyle name="Normal 34" xfId="12"/>
    <cellStyle name="Normal 35" xfId="13"/>
    <cellStyle name="Normal 38" xfId="14"/>
    <cellStyle name="Normal 39" xfId="15"/>
    <cellStyle name="Normal 4" xfId="16"/>
    <cellStyle name="Normal 5" xfId="17"/>
    <cellStyle name="Normal 6" xfId="18"/>
    <cellStyle name="Normal 7" xfId="19"/>
    <cellStyle name="Normal 8" xfId="20"/>
    <cellStyle name="Percent" xfId="21" builtinId="5"/>
  </cellStyles>
  <dxfs count="20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36"/>
  <sheetViews>
    <sheetView tabSelected="1" zoomScaleNormal="100" workbookViewId="0">
      <selection activeCell="L34" activeCellId="2" sqref="L16 L23:L26 L34"/>
    </sheetView>
  </sheetViews>
  <sheetFormatPr defaultRowHeight="12.75" x14ac:dyDescent="0.2"/>
  <cols>
    <col min="1" max="1" width="45.42578125" customWidth="1"/>
    <col min="2" max="2" width="18.140625" bestFit="1" customWidth="1"/>
    <col min="3" max="3" width="14.5703125" customWidth="1"/>
    <col min="4" max="4" width="13.42578125" bestFit="1" customWidth="1"/>
    <col min="5" max="5" width="12.7109375" bestFit="1" customWidth="1"/>
    <col min="6" max="6" width="13.5703125" bestFit="1" customWidth="1"/>
    <col min="7" max="7" width="11.85546875" customWidth="1"/>
    <col min="8" max="8" width="13.42578125" customWidth="1"/>
    <col min="9" max="9" width="12.28515625" customWidth="1"/>
    <col min="10" max="10" width="13.140625" bestFit="1" customWidth="1"/>
    <col min="11" max="11" width="11.28515625" bestFit="1" customWidth="1"/>
    <col min="12" max="12" width="15.28515625" customWidth="1"/>
    <col min="13" max="13" width="10.140625" bestFit="1" customWidth="1"/>
    <col min="14" max="14" width="13" bestFit="1" customWidth="1"/>
    <col min="15" max="15" width="10.28515625" bestFit="1" customWidth="1"/>
  </cols>
  <sheetData>
    <row r="1" spans="1:14" ht="18" x14ac:dyDescent="0.25">
      <c r="A1" s="1"/>
    </row>
    <row r="2" spans="1:14" ht="18" x14ac:dyDescent="0.25">
      <c r="A2" s="1"/>
    </row>
    <row r="3" spans="1:14" ht="18" x14ac:dyDescent="0.25">
      <c r="A3" s="2" t="s">
        <v>18</v>
      </c>
    </row>
    <row r="4" spans="1:14" ht="18" x14ac:dyDescent="0.25">
      <c r="A4" s="2" t="s">
        <v>24</v>
      </c>
      <c r="C4" s="241"/>
    </row>
    <row r="5" spans="1:14" ht="18" x14ac:dyDescent="0.25">
      <c r="A5" s="293" t="s">
        <v>222</v>
      </c>
      <c r="C5" s="137"/>
      <c r="D5" s="3"/>
      <c r="E5" s="3"/>
      <c r="F5" s="3"/>
      <c r="G5" s="3"/>
      <c r="H5" s="3"/>
    </row>
    <row r="6" spans="1:14" ht="18" x14ac:dyDescent="0.25">
      <c r="A6" s="2" t="s">
        <v>8</v>
      </c>
      <c r="C6" s="3"/>
      <c r="D6" s="3"/>
      <c r="E6" s="3"/>
      <c r="F6" s="3"/>
      <c r="G6" s="3"/>
      <c r="H6" s="3"/>
    </row>
    <row r="7" spans="1:14" ht="18" x14ac:dyDescent="0.25">
      <c r="A7" s="4"/>
      <c r="B7" s="5"/>
    </row>
    <row r="8" spans="1:14" ht="18" x14ac:dyDescent="0.25">
      <c r="A8" s="6"/>
      <c r="L8" s="26"/>
    </row>
    <row r="9" spans="1:14" x14ac:dyDescent="0.2">
      <c r="B9" s="7"/>
      <c r="D9" s="7"/>
    </row>
    <row r="10" spans="1:14" ht="15.75" x14ac:dyDescent="0.25">
      <c r="A10" s="8" t="s">
        <v>9</v>
      </c>
      <c r="B10" s="9"/>
      <c r="C10" s="33">
        <v>30</v>
      </c>
      <c r="D10" s="11"/>
      <c r="E10" s="10">
        <v>31</v>
      </c>
      <c r="F10" s="11"/>
      <c r="G10" s="10">
        <v>31</v>
      </c>
      <c r="H10" s="11"/>
      <c r="I10" s="251">
        <v>29</v>
      </c>
      <c r="J10" s="11"/>
      <c r="K10" s="10">
        <v>31</v>
      </c>
      <c r="L10" s="34">
        <f>+C10+E10+G10+I10+K10</f>
        <v>152</v>
      </c>
    </row>
    <row r="11" spans="1:14" x14ac:dyDescent="0.2">
      <c r="A11" s="12"/>
      <c r="B11" s="301">
        <v>42309</v>
      </c>
      <c r="C11" s="301"/>
      <c r="D11" s="299">
        <v>42339</v>
      </c>
      <c r="E11" s="300"/>
      <c r="F11" s="299">
        <v>42370</v>
      </c>
      <c r="G11" s="300"/>
      <c r="H11" s="299">
        <v>42401</v>
      </c>
      <c r="I11" s="300"/>
      <c r="J11" s="299">
        <v>42430</v>
      </c>
      <c r="K11" s="300"/>
      <c r="L11" s="35" t="s">
        <v>12</v>
      </c>
    </row>
    <row r="12" spans="1:14" x14ac:dyDescent="0.2">
      <c r="A12" s="13"/>
      <c r="B12" s="14" t="s">
        <v>10</v>
      </c>
      <c r="C12" s="14" t="s">
        <v>11</v>
      </c>
      <c r="D12" s="16" t="s">
        <v>10</v>
      </c>
      <c r="E12" s="15" t="s">
        <v>11</v>
      </c>
      <c r="F12" s="16" t="s">
        <v>10</v>
      </c>
      <c r="G12" s="15" t="s">
        <v>11</v>
      </c>
      <c r="H12" s="16" t="s">
        <v>10</v>
      </c>
      <c r="I12" s="15" t="s">
        <v>11</v>
      </c>
      <c r="J12" s="16" t="s">
        <v>10</v>
      </c>
      <c r="K12" s="15" t="s">
        <v>11</v>
      </c>
      <c r="L12" s="36" t="s">
        <v>10</v>
      </c>
    </row>
    <row r="13" spans="1:14" x14ac:dyDescent="0.2">
      <c r="A13" s="278" t="s">
        <v>0</v>
      </c>
      <c r="B13" s="118">
        <f>+'Tx Gas Zn 2 14-15 Design Day'!M22+'Tx Gas Zn 2 14-15 Design Day'!M40</f>
        <v>325342.69042349607</v>
      </c>
      <c r="C13" s="119"/>
      <c r="D13" s="118">
        <f>+'Tx Gas Zn 2 14-15 Design Day'!M23+'Tx Gas Zn 2 14-15 Design Day'!M41</f>
        <v>591962.84333716857</v>
      </c>
      <c r="E13" s="120"/>
      <c r="F13" s="118">
        <f>+'Tx Gas Zn 2 14-15 Design Day'!M12+'Tx Gas Zn 2 14-15 Design Day'!M30</f>
        <v>679891.03360208299</v>
      </c>
      <c r="G13" s="120"/>
      <c r="H13" s="118">
        <f>+'Tx Gas Zn 2 14-15 Design Day'!M13+'Tx Gas Zn 2 14-15 Design Day'!M31</f>
        <v>535571.69855453924</v>
      </c>
      <c r="I13" s="120"/>
      <c r="J13" s="118">
        <f>+'Tx Gas Zn 2 14-15 Design Day'!M14+'Tx Gas Zn 2 14-15 Design Day'!M32</f>
        <v>384507.82240745705</v>
      </c>
      <c r="K13" s="120" t="s">
        <v>207</v>
      </c>
      <c r="L13" s="121">
        <f>+B13+D13+F13+H13+J13</f>
        <v>2517276.0883247438</v>
      </c>
    </row>
    <row r="14" spans="1:14" x14ac:dyDescent="0.2">
      <c r="A14" s="117"/>
      <c r="B14" s="17"/>
      <c r="C14" s="27"/>
      <c r="D14" s="17"/>
      <c r="E14" s="12"/>
      <c r="F14" s="17"/>
      <c r="G14" s="12"/>
      <c r="H14" s="17"/>
      <c r="I14" s="12"/>
      <c r="J14" s="17"/>
      <c r="K14" s="12"/>
      <c r="L14" s="117"/>
    </row>
    <row r="15" spans="1:14" x14ac:dyDescent="0.2">
      <c r="A15" s="279" t="s">
        <v>15</v>
      </c>
      <c r="B15" s="18">
        <f>+B13-B16-B17</f>
        <v>131842.69042349607</v>
      </c>
      <c r="C15" s="21">
        <f>B15/C$10</f>
        <v>4394.7563474498693</v>
      </c>
      <c r="D15" s="18">
        <f>+D13-D16-D17</f>
        <v>247462.84333716857</v>
      </c>
      <c r="E15" s="19">
        <f>D15/E$10</f>
        <v>7982.6723657151151</v>
      </c>
      <c r="F15" s="18">
        <f>+F13-F16-F17</f>
        <v>281991.03360208299</v>
      </c>
      <c r="G15" s="19">
        <f>F15/G$10</f>
        <v>9096.4849549059036</v>
      </c>
      <c r="H15" s="18">
        <f>+H13-H16-H17</f>
        <v>185221.69855453924</v>
      </c>
      <c r="I15" s="19">
        <f>H15/I$10</f>
        <v>6386.955122570319</v>
      </c>
      <c r="J15" s="18">
        <f>+J13-J16-J17</f>
        <v>106757.82240745705</v>
      </c>
      <c r="K15" s="19">
        <f>J15/K$10</f>
        <v>3443.800722821195</v>
      </c>
      <c r="L15" s="37">
        <f>B15+D15+F15+H15+J15</f>
        <v>953276.08832474391</v>
      </c>
    </row>
    <row r="16" spans="1:14" s="22" customFormat="1" x14ac:dyDescent="0.2">
      <c r="A16" s="296" t="s">
        <v>23</v>
      </c>
      <c r="B16" s="20">
        <f>+B81+B86</f>
        <v>133500</v>
      </c>
      <c r="C16" s="273">
        <f>+B16/C10</f>
        <v>4450</v>
      </c>
      <c r="D16" s="20">
        <f>+D81</f>
        <v>267000</v>
      </c>
      <c r="E16" s="273">
        <f>+D16/E10</f>
        <v>8612.9032258064508</v>
      </c>
      <c r="F16" s="20">
        <f>+F81</f>
        <v>320400</v>
      </c>
      <c r="G16" s="273">
        <f>+F16/G10</f>
        <v>10335.483870967742</v>
      </c>
      <c r="H16" s="20">
        <f>+H81</f>
        <v>280350</v>
      </c>
      <c r="I16" s="273">
        <f>+H16/I10</f>
        <v>9667.2413793103442</v>
      </c>
      <c r="J16" s="20">
        <f>+J81</f>
        <v>200250</v>
      </c>
      <c r="K16" s="273">
        <f>+J16/K10</f>
        <v>6459.677419354839</v>
      </c>
      <c r="L16" s="112">
        <f>B16+D16+F16+H16+J16</f>
        <v>1201500</v>
      </c>
      <c r="M16" s="116">
        <f>+L16/N16</f>
        <v>0.9</v>
      </c>
      <c r="N16" s="32">
        <v>1335000</v>
      </c>
    </row>
    <row r="17" spans="1:14" s="22" customFormat="1" x14ac:dyDescent="0.2">
      <c r="A17" s="280" t="s">
        <v>19</v>
      </c>
      <c r="B17" s="20">
        <v>60000</v>
      </c>
      <c r="C17" s="23">
        <f>B17/C$10</f>
        <v>2000</v>
      </c>
      <c r="D17" s="20">
        <v>77500</v>
      </c>
      <c r="E17" s="111">
        <f>D17/E$10</f>
        <v>2500</v>
      </c>
      <c r="F17" s="20">
        <v>77500</v>
      </c>
      <c r="G17" s="111">
        <f>F17/G$10</f>
        <v>2500</v>
      </c>
      <c r="H17" s="20">
        <v>70000</v>
      </c>
      <c r="I17" s="111">
        <f>H17/I$10</f>
        <v>2413.7931034482758</v>
      </c>
      <c r="J17" s="20">
        <v>77500</v>
      </c>
      <c r="K17" s="111">
        <f>J17/K$10</f>
        <v>2500</v>
      </c>
      <c r="L17" s="112">
        <f>B17+D17+F17+H17+J17</f>
        <v>362500</v>
      </c>
      <c r="N17" s="32"/>
    </row>
    <row r="18" spans="1:14" x14ac:dyDescent="0.2">
      <c r="A18" s="281" t="s">
        <v>12</v>
      </c>
      <c r="B18" s="44">
        <f>SUM(B15:B17)</f>
        <v>325342.69042349607</v>
      </c>
      <c r="C18" s="45"/>
      <c r="D18" s="44">
        <f t="shared" ref="D18:J18" si="0">SUM(D15:D17)</f>
        <v>591962.84333716857</v>
      </c>
      <c r="E18" s="46"/>
      <c r="F18" s="44">
        <f t="shared" si="0"/>
        <v>679891.03360208299</v>
      </c>
      <c r="G18" s="46"/>
      <c r="H18" s="44">
        <f t="shared" si="0"/>
        <v>535571.69855453924</v>
      </c>
      <c r="I18" s="46"/>
      <c r="J18" s="44">
        <f t="shared" si="0"/>
        <v>384507.82240745705</v>
      </c>
      <c r="K18" s="46"/>
      <c r="L18" s="47">
        <f>B18+D18+F18+H18+J18</f>
        <v>2517276.0883247438</v>
      </c>
      <c r="N18" s="31"/>
    </row>
    <row r="19" spans="1:14" x14ac:dyDescent="0.2">
      <c r="A19" s="282"/>
      <c r="B19" s="18"/>
      <c r="C19" s="21"/>
      <c r="D19" s="18"/>
      <c r="E19" s="19"/>
      <c r="F19" s="18"/>
      <c r="G19" s="19"/>
      <c r="H19" s="18"/>
      <c r="I19" s="19"/>
      <c r="J19" s="18"/>
      <c r="K19" s="19"/>
      <c r="L19" s="37"/>
      <c r="N19" s="31"/>
    </row>
    <row r="20" spans="1:14" x14ac:dyDescent="0.2">
      <c r="A20" s="117" t="s">
        <v>1</v>
      </c>
      <c r="B20" s="18">
        <f>+'Livermore, KY 14-15 Design Day'!M22+'Tx Gas Zn 3 S 14-15 Design Day '!M22+'Tx Gas Zn 3 N 14-15 Design Day'!M22+'Tx Gas Zn 3 N 14-15 Design Day'!M40</f>
        <v>1194152.7723587544</v>
      </c>
      <c r="C20" s="21"/>
      <c r="D20" s="18">
        <f>+'Livermore, KY 14-15 Design Day'!M23+'Tx Gas Zn 3 S 14-15 Design Day '!M23+'Tx Gas Zn 3 N 14-15 Design Day'!M23+'Tx Gas Zn 3 N 14-15 Design Day'!M41</f>
        <v>2096279.6890704923</v>
      </c>
      <c r="E20" s="19"/>
      <c r="F20" s="18">
        <f>+'Livermore, KY 14-15 Design Day'!M12+'Tx Gas Zn 3 S 14-15 Design Day '!M12+'Tx Gas Zn 3 N 14-15 Design Day'!M12+'Tx Gas Zn 3 N 14-15 Design Day'!M30</f>
        <v>2453585.9428162365</v>
      </c>
      <c r="G20" s="19"/>
      <c r="H20" s="18">
        <f>+'Livermore, KY 14-15 Design Day'!M13+'Tx Gas Zn 3 S 14-15 Design Day '!M13+'Tx Gas Zn 3 N 14-15 Design Day'!M13+'Tx Gas Zn 3 N 14-15 Design Day'!M31</f>
        <v>1916426.0420617608</v>
      </c>
      <c r="I20" s="19"/>
      <c r="J20" s="18">
        <f>+'Livermore, KY 14-15 Design Day'!M14+'Tx Gas Zn 3 S 14-15 Design Day '!M14+'Tx Gas Zn 3 N 14-15 Design Day'!M14+'Tx Gas Zn 3 N 14-15 Design Day'!M32</f>
        <v>1403978.4889166616</v>
      </c>
      <c r="K20" s="19"/>
      <c r="L20" s="37">
        <f>+B20+D20+F20+H20+J20</f>
        <v>9064422.9352239054</v>
      </c>
      <c r="N20" s="31"/>
    </row>
    <row r="21" spans="1:14" x14ac:dyDescent="0.2">
      <c r="A21" s="117"/>
      <c r="B21" s="18"/>
      <c r="C21" s="21"/>
      <c r="D21" s="18"/>
      <c r="E21" s="19"/>
      <c r="F21" s="18"/>
      <c r="G21" s="19"/>
      <c r="H21" s="18"/>
      <c r="I21" s="19"/>
      <c r="J21" s="18"/>
      <c r="K21" s="19"/>
      <c r="L21" s="37"/>
      <c r="N21" s="31"/>
    </row>
    <row r="22" spans="1:14" x14ac:dyDescent="0.2">
      <c r="A22" s="283" t="s">
        <v>15</v>
      </c>
      <c r="B22" s="18">
        <f>+B20-B23-B24-B25-B26</f>
        <v>662389.36235875438</v>
      </c>
      <c r="C22" s="21">
        <f>B22/C$10</f>
        <v>22079.645411958478</v>
      </c>
      <c r="D22" s="18">
        <f>+D20-D23-D24-D25-D26</f>
        <v>696139.97907049221</v>
      </c>
      <c r="E22" s="19">
        <f>D22/E$10</f>
        <v>22456.128357112651</v>
      </c>
      <c r="F22" s="18">
        <f>+F20-F23-F24-F25-F26</f>
        <v>741142.21281623666</v>
      </c>
      <c r="G22" s="19">
        <f t="shared" ref="G22:G28" si="1">F22/G$10</f>
        <v>23907.813316652795</v>
      </c>
      <c r="H22" s="18">
        <f>+H20-H23-H24-H25-H26</f>
        <v>271332.09206176084</v>
      </c>
      <c r="I22" s="19">
        <f t="shared" ref="I22:I28" si="2">H22/I$10</f>
        <v>9356.2790366124427</v>
      </c>
      <c r="J22" s="18">
        <f>+J20-J23-J24-J25-J26</f>
        <v>93515.798916661646</v>
      </c>
      <c r="K22" s="19">
        <f>J22/K$10</f>
        <v>3016.6386747310207</v>
      </c>
      <c r="L22" s="37">
        <f t="shared" ref="L22:L28" si="3">B22+D22+F22+H22+J22</f>
        <v>2464519.4452239056</v>
      </c>
      <c r="N22" s="31"/>
    </row>
    <row r="23" spans="1:14" s="22" customFormat="1" x14ac:dyDescent="0.2">
      <c r="A23" s="296" t="s">
        <v>23</v>
      </c>
      <c r="B23" s="113">
        <f>+B82+B87</f>
        <v>213000</v>
      </c>
      <c r="C23" s="274">
        <f>+B23/C10</f>
        <v>7100</v>
      </c>
      <c r="D23" s="114">
        <f>+D82</f>
        <v>426000</v>
      </c>
      <c r="E23" s="274">
        <f>+D23/E10</f>
        <v>13741.935483870968</v>
      </c>
      <c r="F23" s="20">
        <f>+F82</f>
        <v>511200</v>
      </c>
      <c r="G23" s="274">
        <f>+F23/G10</f>
        <v>16490.322580645163</v>
      </c>
      <c r="H23" s="20">
        <f>+H82</f>
        <v>447300</v>
      </c>
      <c r="I23" s="274">
        <f>+H23/I10</f>
        <v>15424.137931034482</v>
      </c>
      <c r="J23" s="115">
        <f>+J82</f>
        <v>319500</v>
      </c>
      <c r="K23" s="274">
        <f>+J23/K10</f>
        <v>10306.451612903225</v>
      </c>
      <c r="L23" s="112">
        <f t="shared" si="3"/>
        <v>1917000</v>
      </c>
      <c r="M23" s="116">
        <f>+L23/N23</f>
        <v>0.9</v>
      </c>
      <c r="N23" s="32">
        <v>2130000</v>
      </c>
    </row>
    <row r="24" spans="1:14" s="22" customFormat="1" x14ac:dyDescent="0.2">
      <c r="A24" s="297" t="s">
        <v>200</v>
      </c>
      <c r="B24" s="20">
        <f>+D96+D104+D111</f>
        <v>110179.30000000005</v>
      </c>
      <c r="C24" s="275">
        <f t="shared" ref="C24:E28" si="4">B24/C$10</f>
        <v>3672.6433333333348</v>
      </c>
      <c r="D24" s="20">
        <f>+F96+F104+F111</f>
        <v>267578.3</v>
      </c>
      <c r="E24" s="276">
        <f t="shared" si="4"/>
        <v>8631.5580645161281</v>
      </c>
      <c r="F24" s="20">
        <f>+H96+H104+H111</f>
        <v>330537.89999999997</v>
      </c>
      <c r="G24" s="276">
        <f t="shared" si="1"/>
        <v>10662.512903225805</v>
      </c>
      <c r="H24" s="20">
        <f>+J96+J104+J111</f>
        <v>323397.75</v>
      </c>
      <c r="I24" s="276">
        <f t="shared" si="2"/>
        <v>11151.646551724138</v>
      </c>
      <c r="J24" s="20">
        <f>+L96+L104+L111</f>
        <v>251092.2</v>
      </c>
      <c r="K24" s="276">
        <f>J24/K$10</f>
        <v>8099.7483870967744</v>
      </c>
      <c r="L24" s="112">
        <f t="shared" si="3"/>
        <v>1282785.45</v>
      </c>
      <c r="M24" s="116">
        <f>+L24/N24</f>
        <v>0.81498958061995308</v>
      </c>
      <c r="N24" s="30">
        <f>+A62</f>
        <v>1573990</v>
      </c>
    </row>
    <row r="25" spans="1:14" s="22" customFormat="1" x14ac:dyDescent="0.2">
      <c r="A25" s="297" t="s">
        <v>201</v>
      </c>
      <c r="B25" s="20">
        <f>+D118+D125</f>
        <v>208584.11</v>
      </c>
      <c r="C25" s="275">
        <f t="shared" si="4"/>
        <v>6952.8036666666658</v>
      </c>
      <c r="D25" s="20">
        <f>+F118+F125</f>
        <v>506561.41000000003</v>
      </c>
      <c r="E25" s="276">
        <f t="shared" si="4"/>
        <v>16340.690645161292</v>
      </c>
      <c r="F25" s="20">
        <f>+H118+H125</f>
        <v>570705.82999999996</v>
      </c>
      <c r="G25" s="276">
        <f t="shared" si="1"/>
        <v>18409.865483870966</v>
      </c>
      <c r="H25" s="20">
        <f>+J118+J125</f>
        <v>364396.2</v>
      </c>
      <c r="I25" s="276">
        <f t="shared" si="2"/>
        <v>12565.386206896552</v>
      </c>
      <c r="J25" s="20">
        <f>+L118+L125</f>
        <v>387370.49</v>
      </c>
      <c r="K25" s="276">
        <f>J25/K$10</f>
        <v>12495.822258064516</v>
      </c>
      <c r="L25" s="112">
        <f t="shared" si="3"/>
        <v>2037618.04</v>
      </c>
      <c r="M25" s="116">
        <f>+L25/N25</f>
        <v>0.68381653233316764</v>
      </c>
      <c r="N25" s="30">
        <f>+A65</f>
        <v>2979773</v>
      </c>
    </row>
    <row r="26" spans="1:14" x14ac:dyDescent="0.2">
      <c r="A26" s="295" t="s">
        <v>205</v>
      </c>
      <c r="B26" s="20">
        <v>0</v>
      </c>
      <c r="C26" s="21">
        <f t="shared" si="4"/>
        <v>0</v>
      </c>
      <c r="D26" s="239">
        <f>10*20000</f>
        <v>200000</v>
      </c>
      <c r="E26" s="240"/>
      <c r="F26" s="239">
        <f>15*20000</f>
        <v>300000</v>
      </c>
      <c r="G26" s="240"/>
      <c r="H26" s="239">
        <f>(15*20000)+(14*15000)</f>
        <v>510000</v>
      </c>
      <c r="I26" s="240"/>
      <c r="J26" s="239">
        <f>(16*15000)+(15*7500)</f>
        <v>352500</v>
      </c>
      <c r="K26" s="240"/>
      <c r="L26" s="37">
        <f t="shared" si="3"/>
        <v>1362500</v>
      </c>
      <c r="M26" s="116">
        <f>+L26/N26</f>
        <v>0.75958188153310102</v>
      </c>
      <c r="N26" s="30">
        <f>+A68</f>
        <v>1793750</v>
      </c>
    </row>
    <row r="27" spans="1:14" x14ac:dyDescent="0.2">
      <c r="A27" s="284" t="s">
        <v>204</v>
      </c>
      <c r="B27" s="18">
        <v>0</v>
      </c>
      <c r="C27" s="21">
        <f t="shared" si="4"/>
        <v>0</v>
      </c>
      <c r="D27" s="18">
        <v>0</v>
      </c>
      <c r="E27" s="19">
        <f t="shared" si="4"/>
        <v>0</v>
      </c>
      <c r="F27" s="18">
        <v>0</v>
      </c>
      <c r="G27" s="19">
        <f t="shared" si="1"/>
        <v>0</v>
      </c>
      <c r="H27" s="18">
        <v>0</v>
      </c>
      <c r="I27" s="19">
        <f t="shared" si="2"/>
        <v>0</v>
      </c>
      <c r="J27" s="18">
        <v>0</v>
      </c>
      <c r="K27" s="19">
        <f>J27/K$10</f>
        <v>0</v>
      </c>
      <c r="L27" s="37">
        <f t="shared" si="3"/>
        <v>0</v>
      </c>
      <c r="M27" s="17"/>
    </row>
    <row r="28" spans="1:14" x14ac:dyDescent="0.2">
      <c r="A28" s="285" t="s">
        <v>199</v>
      </c>
      <c r="B28" s="24">
        <v>0</v>
      </c>
      <c r="C28" s="21">
        <f t="shared" si="4"/>
        <v>0</v>
      </c>
      <c r="D28" s="24">
        <v>0</v>
      </c>
      <c r="E28" s="19">
        <f t="shared" si="4"/>
        <v>0</v>
      </c>
      <c r="F28" s="24">
        <v>0</v>
      </c>
      <c r="G28" s="19">
        <f t="shared" si="1"/>
        <v>0</v>
      </c>
      <c r="H28" s="24">
        <v>0</v>
      </c>
      <c r="I28" s="19">
        <f t="shared" si="2"/>
        <v>0</v>
      </c>
      <c r="J28" s="24">
        <v>0</v>
      </c>
      <c r="K28" s="19">
        <f>J28/K$10</f>
        <v>0</v>
      </c>
      <c r="L28" s="37">
        <f t="shared" si="3"/>
        <v>0</v>
      </c>
    </row>
    <row r="29" spans="1:14" x14ac:dyDescent="0.2">
      <c r="A29" s="286" t="s">
        <v>12</v>
      </c>
      <c r="B29" s="44">
        <f>SUM(B22:B28)</f>
        <v>1194152.7723587544</v>
      </c>
      <c r="C29" s="45"/>
      <c r="D29" s="44">
        <f t="shared" ref="D29:J29" si="5">SUM(D22:D28)</f>
        <v>2096279.6890704921</v>
      </c>
      <c r="E29" s="46"/>
      <c r="F29" s="44">
        <f t="shared" si="5"/>
        <v>2453585.9428162365</v>
      </c>
      <c r="G29" s="46"/>
      <c r="H29" s="44">
        <f t="shared" si="5"/>
        <v>1916426.0420617608</v>
      </c>
      <c r="I29" s="46"/>
      <c r="J29" s="44">
        <f t="shared" si="5"/>
        <v>1403978.4889166616</v>
      </c>
      <c r="K29" s="46"/>
      <c r="L29" s="47">
        <f>SUM(L22:L28)</f>
        <v>9064422.9352239054</v>
      </c>
    </row>
    <row r="30" spans="1:14" x14ac:dyDescent="0.2">
      <c r="A30" s="287"/>
      <c r="B30" s="18"/>
      <c r="C30" s="21"/>
      <c r="D30" s="18"/>
      <c r="E30" s="19"/>
      <c r="F30" s="18"/>
      <c r="G30" s="19"/>
      <c r="H30" s="18"/>
      <c r="I30" s="19"/>
      <c r="J30" s="18"/>
      <c r="K30" s="19"/>
      <c r="L30" s="37"/>
    </row>
    <row r="31" spans="1:14" x14ac:dyDescent="0.2">
      <c r="A31" s="117" t="s">
        <v>2</v>
      </c>
      <c r="B31" s="18">
        <f>+'Tx Gas Zn 4 14-15 Design Day'!M22</f>
        <v>113399.37548126426</v>
      </c>
      <c r="C31" s="21"/>
      <c r="D31" s="18">
        <f>+'Tx Gas Zn 4 14-15 Design Day'!M23</f>
        <v>203147.05346184174</v>
      </c>
      <c r="E31" s="19">
        <f>+D31/E10</f>
        <v>6553.1307568336042</v>
      </c>
      <c r="F31" s="18">
        <f>+'Tx Gas Zn 4 14-15 Design Day'!M12</f>
        <v>244595.77822872828</v>
      </c>
      <c r="G31" s="19">
        <f>+F31/G10</f>
        <v>7890.1863944751058</v>
      </c>
      <c r="H31" s="18">
        <f>+'Tx Gas Zn 4 14-15 Design Day'!M13</f>
        <v>187294.64024523599</v>
      </c>
      <c r="I31" s="19">
        <f>+H31/I10</f>
        <v>6458.435870525379</v>
      </c>
      <c r="J31" s="18">
        <f>+'Tx Gas Zn 4 14-15 Design Day'!M14</f>
        <v>144196.03206219734</v>
      </c>
      <c r="K31" s="19">
        <f>+J31/K10</f>
        <v>4651.4849052321724</v>
      </c>
      <c r="L31" s="37">
        <f>+B31+D31+F31+H31+J31</f>
        <v>892632.87947926763</v>
      </c>
    </row>
    <row r="32" spans="1:14" x14ac:dyDescent="0.2">
      <c r="A32" s="117"/>
      <c r="B32" s="18"/>
      <c r="C32" s="21"/>
      <c r="D32" s="18"/>
      <c r="E32" s="19"/>
      <c r="F32" s="18"/>
      <c r="G32" s="19"/>
      <c r="H32" s="18"/>
      <c r="I32" s="19"/>
      <c r="J32" s="18"/>
      <c r="K32" s="19"/>
      <c r="L32" s="37"/>
    </row>
    <row r="33" spans="1:21" x14ac:dyDescent="0.2">
      <c r="A33" s="287" t="s">
        <v>15</v>
      </c>
      <c r="B33" s="21">
        <f>+B31-B34</f>
        <v>75784.375481264258</v>
      </c>
      <c r="C33" s="19">
        <f>B33/C$10</f>
        <v>2526.1458493754753</v>
      </c>
      <c r="D33" s="21">
        <f>+D31-D34</f>
        <v>127917.05346184174</v>
      </c>
      <c r="E33" s="19">
        <f>D33/E$10</f>
        <v>4126.3565632852178</v>
      </c>
      <c r="F33" s="21">
        <f>+F31-F34</f>
        <v>154319.77822872828</v>
      </c>
      <c r="G33" s="19">
        <f>F33/G$10</f>
        <v>4978.0573622170414</v>
      </c>
      <c r="H33" s="21">
        <f>+H31-H34</f>
        <v>108303.14024523599</v>
      </c>
      <c r="I33" s="19">
        <f>H33/I$10</f>
        <v>3734.591042939172</v>
      </c>
      <c r="J33" s="21">
        <f>+J31-J34</f>
        <v>87773.532062197337</v>
      </c>
      <c r="K33" s="19">
        <f>J33/K$10</f>
        <v>2831.4042600708817</v>
      </c>
      <c r="L33" s="37">
        <f>B33+D33+F33+H33+J33</f>
        <v>554097.87947926763</v>
      </c>
    </row>
    <row r="34" spans="1:21" s="22" customFormat="1" x14ac:dyDescent="0.2">
      <c r="A34" s="294" t="s">
        <v>23</v>
      </c>
      <c r="B34" s="127">
        <f>+B83+B88</f>
        <v>37615</v>
      </c>
      <c r="C34" s="240"/>
      <c r="D34" s="127">
        <f>+D83</f>
        <v>75230</v>
      </c>
      <c r="E34" s="240"/>
      <c r="F34" s="127">
        <f>+F83</f>
        <v>90276</v>
      </c>
      <c r="G34" s="240"/>
      <c r="H34" s="127">
        <f>+H83</f>
        <v>78991.5</v>
      </c>
      <c r="I34" s="240"/>
      <c r="J34" s="127">
        <f>+J83</f>
        <v>56422.5</v>
      </c>
      <c r="K34" s="240"/>
      <c r="L34" s="128">
        <f>B34+D34+F34+H34+J34</f>
        <v>338535</v>
      </c>
      <c r="M34" s="116">
        <f>+L34/N34</f>
        <v>0.9</v>
      </c>
      <c r="N34" s="32">
        <v>376150</v>
      </c>
    </row>
    <row r="35" spans="1:21" x14ac:dyDescent="0.2">
      <c r="A35" s="286" t="s">
        <v>12</v>
      </c>
      <c r="B35" s="44">
        <f>B33+B34</f>
        <v>113399.37548126426</v>
      </c>
      <c r="C35" s="242"/>
      <c r="D35" s="44">
        <f t="shared" ref="D35:J35" si="6">D33+D34</f>
        <v>203147.05346184174</v>
      </c>
      <c r="E35" s="46"/>
      <c r="F35" s="44">
        <f t="shared" si="6"/>
        <v>244595.77822872828</v>
      </c>
      <c r="G35" s="46"/>
      <c r="H35" s="44">
        <f t="shared" si="6"/>
        <v>187294.64024523599</v>
      </c>
      <c r="I35" s="46"/>
      <c r="J35" s="44">
        <f t="shared" si="6"/>
        <v>144196.03206219734</v>
      </c>
      <c r="K35" s="46"/>
      <c r="L35" s="47">
        <f>B35+D35+F35+H35+J35</f>
        <v>892632.87947926763</v>
      </c>
      <c r="N35" s="26"/>
    </row>
    <row r="36" spans="1:21" x14ac:dyDescent="0.2">
      <c r="A36" s="288"/>
      <c r="B36" s="18"/>
      <c r="C36" s="244"/>
      <c r="D36" s="21"/>
      <c r="E36" s="245"/>
      <c r="F36" s="18"/>
      <c r="G36" s="245"/>
      <c r="H36" s="18"/>
      <c r="I36" s="245"/>
      <c r="J36" s="18"/>
      <c r="K36" s="245"/>
      <c r="L36" s="37"/>
      <c r="O36" s="31"/>
    </row>
    <row r="37" spans="1:21" ht="13.5" thickBot="1" x14ac:dyDescent="0.25">
      <c r="A37" s="289" t="s">
        <v>17</v>
      </c>
      <c r="B37" s="41">
        <f>+B13+B20+B31</f>
        <v>1632894.8382635147</v>
      </c>
      <c r="C37" s="243"/>
      <c r="D37" s="41">
        <f>+D13+D20+D31</f>
        <v>2891389.5858695027</v>
      </c>
      <c r="E37" s="243"/>
      <c r="F37" s="41">
        <f>+F13+F20+F31</f>
        <v>3378072.7546470477</v>
      </c>
      <c r="G37" s="243"/>
      <c r="H37" s="41">
        <f>+H13+H20+H31</f>
        <v>2639292.3808615361</v>
      </c>
      <c r="I37" s="243"/>
      <c r="J37" s="41">
        <f>+J13+J20+J31</f>
        <v>1932682.343386316</v>
      </c>
      <c r="K37" s="246"/>
      <c r="L37" s="43">
        <f>B37+D37+F37+H37+J37</f>
        <v>12474331.903027918</v>
      </c>
      <c r="M37" s="22"/>
      <c r="N37" s="22"/>
      <c r="O37" s="22"/>
      <c r="P37" s="22"/>
      <c r="Q37" s="22"/>
      <c r="R37" s="22"/>
      <c r="S37" s="22"/>
      <c r="T37" s="22"/>
      <c r="U37" s="22"/>
    </row>
    <row r="38" spans="1:21" ht="14.25" thickTop="1" thickBot="1" x14ac:dyDescent="0.25">
      <c r="A38" s="289" t="s">
        <v>21</v>
      </c>
      <c r="B38" s="41">
        <f t="shared" ref="B38:J38" si="7">+B16+B23+B26+B24+B25+B34</f>
        <v>702878.41</v>
      </c>
      <c r="C38" s="42"/>
      <c r="D38" s="41">
        <f t="shared" si="7"/>
        <v>1742369.71</v>
      </c>
      <c r="E38" s="43"/>
      <c r="F38" s="41">
        <f t="shared" si="7"/>
        <v>2123119.73</v>
      </c>
      <c r="G38" s="43"/>
      <c r="H38" s="41">
        <f t="shared" si="7"/>
        <v>2004435.45</v>
      </c>
      <c r="I38" s="43"/>
      <c r="J38" s="41">
        <f t="shared" si="7"/>
        <v>1567135.19</v>
      </c>
      <c r="K38" s="43"/>
      <c r="L38" s="43">
        <f>B38+D38+F38+H38+J38</f>
        <v>8139938.4900000002</v>
      </c>
      <c r="M38" s="48">
        <f>+L16+L23+L34</f>
        <v>3457035</v>
      </c>
      <c r="N38" s="22" t="s">
        <v>152</v>
      </c>
      <c r="O38" s="22"/>
      <c r="P38" s="22"/>
      <c r="Q38" s="22"/>
      <c r="R38" s="22"/>
      <c r="S38" s="22"/>
      <c r="T38" s="22"/>
      <c r="U38" s="22"/>
    </row>
    <row r="39" spans="1:21" ht="13.5" thickTop="1" x14ac:dyDescent="0.2">
      <c r="A39" s="290"/>
      <c r="B39" s="133"/>
      <c r="C39" s="134"/>
      <c r="D39" s="133"/>
      <c r="E39" s="135"/>
      <c r="F39" s="133"/>
      <c r="G39" s="135"/>
      <c r="H39" s="133"/>
      <c r="I39" s="135"/>
      <c r="J39" s="133"/>
      <c r="K39" s="135"/>
      <c r="L39" s="136"/>
      <c r="M39" s="22"/>
      <c r="N39" s="22"/>
      <c r="O39" s="22"/>
      <c r="P39" s="22"/>
      <c r="Q39" s="22"/>
      <c r="R39" s="22"/>
      <c r="S39" s="22"/>
      <c r="T39" s="22"/>
      <c r="U39" s="22"/>
    </row>
    <row r="40" spans="1:21" x14ac:dyDescent="0.2">
      <c r="A40" s="117" t="s">
        <v>16</v>
      </c>
      <c r="B40" s="18">
        <f>B15+B22+B33</f>
        <v>870016.42826351477</v>
      </c>
      <c r="C40" s="21">
        <f>C15+C22+C33</f>
        <v>29000.547608783825</v>
      </c>
      <c r="D40" s="18">
        <f t="shared" ref="D40:J40" si="8">D15+D22+D33</f>
        <v>1071519.8758695025</v>
      </c>
      <c r="E40" s="19">
        <f>E15+E22+E33</f>
        <v>34565.157286112983</v>
      </c>
      <c r="F40" s="18">
        <f t="shared" si="8"/>
        <v>1177453.024647048</v>
      </c>
      <c r="G40" s="19">
        <f>G15+G22+G33</f>
        <v>37982.35563377574</v>
      </c>
      <c r="H40" s="18">
        <f t="shared" si="8"/>
        <v>564856.93086153606</v>
      </c>
      <c r="I40" s="19">
        <f>+H40/I10</f>
        <v>19477.825202121934</v>
      </c>
      <c r="J40" s="18">
        <f t="shared" si="8"/>
        <v>288047.15338631603</v>
      </c>
      <c r="K40" s="19">
        <f>K15+K22+K33</f>
        <v>9291.8436576230979</v>
      </c>
      <c r="L40" s="37">
        <f>B40+D40+F40+H40+J40</f>
        <v>3971893.413027917</v>
      </c>
      <c r="M40" s="22"/>
      <c r="N40" s="22"/>
      <c r="O40" s="32"/>
      <c r="P40" s="22"/>
      <c r="Q40" s="22"/>
      <c r="R40" s="22"/>
      <c r="S40" s="22"/>
      <c r="T40" s="22"/>
      <c r="U40" s="22"/>
    </row>
    <row r="41" spans="1:21" s="22" customFormat="1" x14ac:dyDescent="0.2">
      <c r="A41" s="291" t="s">
        <v>20</v>
      </c>
      <c r="B41" s="20">
        <f>B17</f>
        <v>60000</v>
      </c>
      <c r="C41" s="23">
        <f>C17</f>
        <v>2000</v>
      </c>
      <c r="D41" s="20">
        <f t="shared" ref="D41:K41" si="9">D17</f>
        <v>77500</v>
      </c>
      <c r="E41" s="111">
        <f t="shared" si="9"/>
        <v>2500</v>
      </c>
      <c r="F41" s="20">
        <f t="shared" si="9"/>
        <v>77500</v>
      </c>
      <c r="G41" s="111">
        <f t="shared" si="9"/>
        <v>2500</v>
      </c>
      <c r="H41" s="20">
        <f t="shared" si="9"/>
        <v>70000</v>
      </c>
      <c r="I41" s="111">
        <f t="shared" si="9"/>
        <v>2413.7931034482758</v>
      </c>
      <c r="J41" s="20">
        <f t="shared" si="9"/>
        <v>77500</v>
      </c>
      <c r="K41" s="111">
        <f t="shared" si="9"/>
        <v>2500</v>
      </c>
      <c r="L41" s="112">
        <f>B41+D41+F41+H41+J41</f>
        <v>362500</v>
      </c>
    </row>
    <row r="42" spans="1:21" x14ac:dyDescent="0.2">
      <c r="A42" s="117" t="s">
        <v>202</v>
      </c>
      <c r="B42" s="18">
        <f>B27</f>
        <v>0</v>
      </c>
      <c r="C42" s="21">
        <f t="shared" ref="C42:K42" si="10">C27</f>
        <v>0</v>
      </c>
      <c r="D42" s="18">
        <f t="shared" si="10"/>
        <v>0</v>
      </c>
      <c r="E42" s="19">
        <f t="shared" si="10"/>
        <v>0</v>
      </c>
      <c r="F42" s="18">
        <f t="shared" si="10"/>
        <v>0</v>
      </c>
      <c r="G42" s="19">
        <f t="shared" si="10"/>
        <v>0</v>
      </c>
      <c r="H42" s="18">
        <f t="shared" si="10"/>
        <v>0</v>
      </c>
      <c r="I42" s="19">
        <f t="shared" si="10"/>
        <v>0</v>
      </c>
      <c r="J42" s="18">
        <f t="shared" si="10"/>
        <v>0</v>
      </c>
      <c r="K42" s="19">
        <f t="shared" si="10"/>
        <v>0</v>
      </c>
      <c r="L42" s="37">
        <f>B42+D42+F42+H42+J42</f>
        <v>0</v>
      </c>
      <c r="M42" s="22"/>
      <c r="N42" s="22"/>
      <c r="O42" s="22"/>
      <c r="P42" s="22"/>
      <c r="Q42" s="22"/>
      <c r="R42" s="22"/>
      <c r="S42" s="22"/>
      <c r="T42" s="22"/>
      <c r="U42" s="22"/>
    </row>
    <row r="43" spans="1:21" x14ac:dyDescent="0.2">
      <c r="A43" s="292" t="s">
        <v>203</v>
      </c>
      <c r="B43" s="24">
        <f>B28</f>
        <v>0</v>
      </c>
      <c r="C43" s="50">
        <f t="shared" ref="C43:K43" si="11">C28</f>
        <v>0</v>
      </c>
      <c r="D43" s="24">
        <f t="shared" si="11"/>
        <v>0</v>
      </c>
      <c r="E43" s="25">
        <f t="shared" si="11"/>
        <v>0</v>
      </c>
      <c r="F43" s="24">
        <f t="shared" si="11"/>
        <v>0</v>
      </c>
      <c r="G43" s="25">
        <f t="shared" si="11"/>
        <v>0</v>
      </c>
      <c r="H43" s="24">
        <f t="shared" si="11"/>
        <v>0</v>
      </c>
      <c r="I43" s="25">
        <f t="shared" si="11"/>
        <v>0</v>
      </c>
      <c r="J43" s="24">
        <f t="shared" si="11"/>
        <v>0</v>
      </c>
      <c r="K43" s="25">
        <f t="shared" si="11"/>
        <v>0</v>
      </c>
      <c r="L43" s="38">
        <f>B43+D43+F43+H43+J43</f>
        <v>0</v>
      </c>
      <c r="M43" s="22"/>
      <c r="N43" s="22"/>
      <c r="O43" s="22"/>
      <c r="P43" s="22"/>
      <c r="Q43" s="22"/>
      <c r="R43" s="22"/>
      <c r="S43" s="22"/>
      <c r="T43" s="22"/>
      <c r="U43" s="22"/>
    </row>
    <row r="44" spans="1:21" ht="13.5" thickBot="1" x14ac:dyDescent="0.25">
      <c r="A44" s="129" t="s">
        <v>14</v>
      </c>
      <c r="B44" s="129">
        <f>SUM(B40:B43)</f>
        <v>930016.42826351477</v>
      </c>
      <c r="C44" s="130">
        <f t="shared" ref="C44:K44" si="12">SUM(C40:C43)</f>
        <v>31000.547608783825</v>
      </c>
      <c r="D44" s="129">
        <f t="shared" si="12"/>
        <v>1149019.8758695025</v>
      </c>
      <c r="E44" s="131">
        <f t="shared" si="12"/>
        <v>37065.157286112983</v>
      </c>
      <c r="F44" s="129">
        <f t="shared" si="12"/>
        <v>1254953.024647048</v>
      </c>
      <c r="G44" s="131">
        <f t="shared" si="12"/>
        <v>40482.35563377574</v>
      </c>
      <c r="H44" s="129">
        <f t="shared" si="12"/>
        <v>634856.93086153606</v>
      </c>
      <c r="I44" s="131">
        <f t="shared" si="12"/>
        <v>21891.618305570209</v>
      </c>
      <c r="J44" s="129">
        <f t="shared" si="12"/>
        <v>365547.15338631603</v>
      </c>
      <c r="K44" s="131">
        <f t="shared" si="12"/>
        <v>11791.843657623098</v>
      </c>
      <c r="L44" s="132">
        <f>B44+D44+F44+H44+J44</f>
        <v>4334393.413027917</v>
      </c>
      <c r="M44" s="22"/>
      <c r="N44" s="22"/>
      <c r="O44" s="22"/>
      <c r="P44" s="22"/>
      <c r="Q44" s="22"/>
      <c r="R44" s="22"/>
      <c r="S44" s="22"/>
      <c r="T44" s="22"/>
      <c r="U44" s="22"/>
    </row>
    <row r="45" spans="1:21" ht="13.5" thickTop="1" x14ac:dyDescent="0.2"/>
    <row r="46" spans="1:21" x14ac:dyDescent="0.2">
      <c r="K46" t="s">
        <v>208</v>
      </c>
    </row>
    <row r="47" spans="1:21" x14ac:dyDescent="0.2">
      <c r="A47" t="s">
        <v>220</v>
      </c>
    </row>
    <row r="48" spans="1:21" x14ac:dyDescent="0.2">
      <c r="A48" s="22" t="s">
        <v>209</v>
      </c>
      <c r="B48" s="22"/>
      <c r="C48" s="22"/>
    </row>
    <row r="49" spans="1:21" x14ac:dyDescent="0.2">
      <c r="A49" s="271" t="s">
        <v>206</v>
      </c>
      <c r="B49" s="23"/>
      <c r="C49" s="23"/>
      <c r="D49" s="21"/>
      <c r="E49" s="21"/>
      <c r="F49" s="21"/>
      <c r="G49" s="21"/>
      <c r="H49" s="21"/>
      <c r="I49" s="21"/>
      <c r="J49" s="21"/>
      <c r="K49" s="21"/>
      <c r="L49" s="21"/>
      <c r="M49" s="22"/>
      <c r="N49" s="22"/>
      <c r="O49" s="22"/>
      <c r="P49" s="22"/>
      <c r="Q49" s="22"/>
      <c r="R49" s="22"/>
      <c r="S49" s="22"/>
      <c r="T49" s="22"/>
      <c r="U49" s="22"/>
    </row>
    <row r="50" spans="1:21" x14ac:dyDescent="0.2">
      <c r="A50" s="271" t="s">
        <v>211</v>
      </c>
      <c r="B50" s="23"/>
      <c r="C50" s="23"/>
      <c r="D50" s="21"/>
      <c r="E50" s="21"/>
      <c r="F50" s="21"/>
      <c r="G50" s="21"/>
      <c r="H50" s="21"/>
      <c r="I50" s="21"/>
      <c r="J50" s="21"/>
      <c r="K50" s="21"/>
      <c r="L50" s="21"/>
      <c r="M50" s="22"/>
      <c r="N50" s="22"/>
      <c r="O50" s="22"/>
      <c r="P50" s="22"/>
      <c r="Q50" s="22"/>
      <c r="R50" s="22"/>
      <c r="S50" s="22"/>
      <c r="T50" s="22"/>
      <c r="U50" s="22"/>
    </row>
    <row r="51" spans="1:21" x14ac:dyDescent="0.2">
      <c r="A51" s="271" t="s">
        <v>212</v>
      </c>
      <c r="B51" s="23"/>
      <c r="C51" s="23"/>
      <c r="D51" s="21"/>
      <c r="E51" s="21"/>
      <c r="F51" s="21"/>
      <c r="G51" s="21"/>
      <c r="H51" s="21"/>
      <c r="I51" s="21"/>
      <c r="J51" s="21"/>
      <c r="K51" s="21"/>
      <c r="L51" s="21"/>
      <c r="M51" s="22"/>
      <c r="N51" s="22"/>
      <c r="O51" s="22"/>
      <c r="P51" s="22"/>
      <c r="Q51" s="22"/>
      <c r="R51" s="22"/>
      <c r="S51" s="22"/>
      <c r="T51" s="22"/>
      <c r="U51" s="22"/>
    </row>
    <row r="52" spans="1:21" x14ac:dyDescent="0.2">
      <c r="A52" s="271" t="s">
        <v>221</v>
      </c>
      <c r="B52" s="23"/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2"/>
      <c r="N52" s="22"/>
      <c r="O52" s="22"/>
      <c r="P52" s="22"/>
      <c r="Q52" s="22"/>
      <c r="R52" s="22"/>
      <c r="S52" s="22"/>
      <c r="T52" s="22"/>
      <c r="U52" s="22"/>
    </row>
    <row r="53" spans="1:21" x14ac:dyDescent="0.2">
      <c r="L53" s="23"/>
      <c r="M53" s="48"/>
      <c r="N53" s="22"/>
      <c r="O53" s="22"/>
      <c r="P53" s="22"/>
      <c r="Q53" s="22"/>
      <c r="R53" s="22"/>
      <c r="S53" s="22"/>
      <c r="T53" s="22"/>
      <c r="U53" s="22"/>
    </row>
    <row r="54" spans="1:21" x14ac:dyDescent="0.2">
      <c r="A54" s="298" t="s">
        <v>22</v>
      </c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2"/>
      <c r="N54" s="22"/>
      <c r="O54" s="22"/>
      <c r="P54" s="22"/>
      <c r="Q54" s="22"/>
      <c r="R54" s="22"/>
      <c r="S54" s="22"/>
      <c r="T54" s="22"/>
      <c r="U54" s="22"/>
    </row>
    <row r="55" spans="1:21" x14ac:dyDescent="0.2">
      <c r="A55" s="28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2"/>
      <c r="N55" s="22"/>
      <c r="O55" s="22"/>
      <c r="P55" s="22"/>
      <c r="Q55" s="22"/>
      <c r="R55" s="22"/>
      <c r="S55" s="22"/>
      <c r="T55" s="22"/>
      <c r="U55" s="22"/>
    </row>
    <row r="56" spans="1:21" x14ac:dyDescent="0.2">
      <c r="A56" t="s">
        <v>151</v>
      </c>
      <c r="B56" s="110"/>
      <c r="D56" s="110"/>
      <c r="F56" s="110"/>
      <c r="H56" s="110"/>
      <c r="J56" s="110"/>
      <c r="M56" s="22"/>
      <c r="N56" s="22"/>
      <c r="O56" s="22"/>
      <c r="P56" s="22"/>
      <c r="Q56" s="22"/>
      <c r="R56" s="22"/>
      <c r="S56" s="22"/>
      <c r="T56" s="22"/>
      <c r="U56" s="22"/>
    </row>
    <row r="57" spans="1:21" x14ac:dyDescent="0.2">
      <c r="A57" s="31">
        <f>1335000+2130000+376150</f>
        <v>3841150</v>
      </c>
      <c r="B57" s="55"/>
      <c r="C57" s="31"/>
      <c r="D57" s="55"/>
      <c r="E57" s="31"/>
      <c r="F57" s="26"/>
      <c r="G57" s="31"/>
      <c r="H57" s="26"/>
      <c r="I57" s="31"/>
      <c r="J57" s="55"/>
      <c r="K57" s="31"/>
      <c r="M57" s="22"/>
      <c r="N57" s="22"/>
      <c r="O57" s="22"/>
      <c r="P57" s="22"/>
      <c r="Q57" s="22"/>
      <c r="R57" s="22"/>
      <c r="S57" s="22"/>
      <c r="T57" s="22"/>
      <c r="U57" s="22"/>
    </row>
    <row r="58" spans="1:21" x14ac:dyDescent="0.2">
      <c r="A58" s="31">
        <f>+A57*0.95</f>
        <v>3649092.5</v>
      </c>
      <c r="M58" s="22"/>
      <c r="N58" s="22"/>
      <c r="O58" s="22"/>
      <c r="P58" s="22"/>
      <c r="Q58" s="22"/>
      <c r="R58" s="22"/>
      <c r="S58" s="22"/>
      <c r="T58" s="22"/>
      <c r="U58" s="22"/>
    </row>
    <row r="59" spans="1:21" x14ac:dyDescent="0.2">
      <c r="A59" s="55">
        <f>+A57*0.9</f>
        <v>3457035</v>
      </c>
      <c r="M59" s="22"/>
      <c r="N59" s="22"/>
      <c r="O59" s="22"/>
      <c r="P59" s="22"/>
      <c r="Q59" s="22"/>
      <c r="R59" s="22"/>
      <c r="S59" s="22"/>
      <c r="T59" s="22"/>
      <c r="U59" s="22"/>
    </row>
    <row r="60" spans="1:21" x14ac:dyDescent="0.2">
      <c r="M60" s="22"/>
      <c r="N60" s="22"/>
      <c r="O60" s="22"/>
      <c r="P60" s="22"/>
      <c r="Q60" s="22"/>
      <c r="R60" s="22"/>
      <c r="S60" s="22"/>
      <c r="T60" s="22"/>
      <c r="U60" s="22"/>
    </row>
    <row r="61" spans="1:21" hidden="1" x14ac:dyDescent="0.2">
      <c r="A61" t="s">
        <v>153</v>
      </c>
      <c r="C61" s="110">
        <f>+C63/A62</f>
        <v>0.88</v>
      </c>
      <c r="E61" s="110">
        <f>+E63/A62</f>
        <v>0.71</v>
      </c>
      <c r="G61" s="110">
        <f>+G63/A62</f>
        <v>0.5</v>
      </c>
      <c r="I61" s="110">
        <f>+I63/A62</f>
        <v>0.29453633758791353</v>
      </c>
      <c r="K61" s="110">
        <f>+K63/A62</f>
        <v>0.13501041938004688</v>
      </c>
      <c r="M61" s="22"/>
      <c r="N61" s="22"/>
      <c r="O61" s="22"/>
      <c r="P61" s="22"/>
      <c r="Q61" s="22"/>
      <c r="R61" s="22"/>
      <c r="S61" s="22"/>
      <c r="T61" s="22"/>
      <c r="U61" s="22"/>
    </row>
    <row r="62" spans="1:21" hidden="1" x14ac:dyDescent="0.2">
      <c r="A62" s="31">
        <f>+'Co-owned storage ratchets'!B10+'Co-owned storage ratchets'!B11+'Co-owned storage ratchets'!B12</f>
        <v>1573990</v>
      </c>
      <c r="B62" t="s">
        <v>150</v>
      </c>
      <c r="M62" s="22"/>
      <c r="N62" s="22"/>
      <c r="O62" s="22"/>
      <c r="P62" s="22"/>
      <c r="Q62" s="22"/>
      <c r="R62" s="22"/>
      <c r="S62" s="22"/>
      <c r="T62" s="22"/>
      <c r="U62" s="22"/>
    </row>
    <row r="63" spans="1:21" hidden="1" x14ac:dyDescent="0.2">
      <c r="A63" s="31">
        <f>+A62*0.95</f>
        <v>1495290.5</v>
      </c>
      <c r="B63" t="s">
        <v>154</v>
      </c>
      <c r="C63" s="26">
        <f>+A63-B24</f>
        <v>1385111.2</v>
      </c>
      <c r="D63" s="26"/>
      <c r="E63" s="26">
        <f>+C63-D24</f>
        <v>1117532.8999999999</v>
      </c>
      <c r="F63" s="26"/>
      <c r="G63" s="26">
        <f>+E63-F24</f>
        <v>786995</v>
      </c>
      <c r="H63" s="26"/>
      <c r="I63" s="26">
        <f>+G63-H24</f>
        <v>463597.25</v>
      </c>
      <c r="J63" s="26"/>
      <c r="K63" s="26">
        <f>+I63-J24</f>
        <v>212505.05</v>
      </c>
      <c r="M63" s="29"/>
      <c r="N63" s="29"/>
      <c r="O63" s="29"/>
      <c r="P63" s="29"/>
      <c r="Q63" s="29"/>
      <c r="R63" s="30"/>
      <c r="S63" s="22"/>
      <c r="T63" s="22"/>
      <c r="U63" s="22"/>
    </row>
    <row r="64" spans="1:21" hidden="1" x14ac:dyDescent="0.2">
      <c r="A64" s="31">
        <f>+A62*0.9</f>
        <v>1416591</v>
      </c>
      <c r="B64" s="49" t="s">
        <v>155</v>
      </c>
      <c r="C64" s="51"/>
      <c r="D64" s="51"/>
      <c r="E64" s="49"/>
      <c r="F64" s="49"/>
      <c r="M64" s="22"/>
      <c r="N64" s="22"/>
      <c r="O64" s="22"/>
      <c r="P64" s="22"/>
      <c r="Q64" s="22"/>
      <c r="R64" s="22"/>
      <c r="S64" s="22"/>
      <c r="T64" s="22"/>
      <c r="U64" s="22"/>
    </row>
    <row r="65" spans="1:21" hidden="1" x14ac:dyDescent="0.2">
      <c r="A65" s="31">
        <f>2752325+227448</f>
        <v>2979773</v>
      </c>
      <c r="B65" t="s">
        <v>149</v>
      </c>
      <c r="C65" s="110">
        <f>+C66/A65</f>
        <v>0.88000000000000012</v>
      </c>
      <c r="D65" s="110"/>
      <c r="E65" s="110">
        <f>+E66/A65</f>
        <v>0.71000000000000008</v>
      </c>
      <c r="F65" s="110"/>
      <c r="G65" s="110">
        <f>+G66/A65</f>
        <v>0.51847338706673296</v>
      </c>
      <c r="H65" s="110"/>
      <c r="I65" s="110">
        <f>+I66/A65</f>
        <v>0.39618346766683238</v>
      </c>
      <c r="J65" s="110"/>
      <c r="K65" s="110">
        <f>+K66/A65</f>
        <v>0.26618346766683237</v>
      </c>
      <c r="L65" t="s">
        <v>7</v>
      </c>
      <c r="M65" s="22"/>
      <c r="N65" s="22"/>
      <c r="O65" s="22"/>
      <c r="P65" s="22"/>
      <c r="Q65" s="22"/>
      <c r="R65" s="22"/>
      <c r="S65" s="22"/>
      <c r="T65" s="22"/>
      <c r="U65" s="22"/>
    </row>
    <row r="66" spans="1:21" hidden="1" x14ac:dyDescent="0.2">
      <c r="A66" s="31">
        <f>+A65*0.95</f>
        <v>2830784.35</v>
      </c>
      <c r="B66" t="s">
        <v>154</v>
      </c>
      <c r="C66" s="26">
        <f>+A66-B25</f>
        <v>2622200.2400000002</v>
      </c>
      <c r="D66" s="26"/>
      <c r="E66" s="26">
        <f>+C66-D25</f>
        <v>2115638.83</v>
      </c>
      <c r="F66" s="26"/>
      <c r="G66" s="26">
        <f>+E66-F25</f>
        <v>1544933</v>
      </c>
      <c r="H66" s="26"/>
      <c r="I66" s="26">
        <f>+G66-H25</f>
        <v>1180536.8</v>
      </c>
      <c r="J66" s="26"/>
      <c r="K66" s="26">
        <f>+I66-J25</f>
        <v>793166.31</v>
      </c>
      <c r="M66" s="22"/>
      <c r="N66" s="22"/>
      <c r="O66" s="22"/>
      <c r="P66" s="22"/>
      <c r="Q66" s="22"/>
      <c r="R66" s="22"/>
      <c r="S66" s="22"/>
      <c r="T66" s="22"/>
      <c r="U66" s="22"/>
    </row>
    <row r="67" spans="1:21" hidden="1" x14ac:dyDescent="0.2">
      <c r="A67" s="31">
        <f>+A65*0.9</f>
        <v>2681795.7000000002</v>
      </c>
      <c r="B67" s="49" t="s">
        <v>155</v>
      </c>
    </row>
    <row r="68" spans="1:21" hidden="1" x14ac:dyDescent="0.2">
      <c r="A68" s="31">
        <v>1793750</v>
      </c>
      <c r="B68" t="s">
        <v>156</v>
      </c>
      <c r="C68" s="110">
        <f>+C69/A68</f>
        <v>0.95</v>
      </c>
      <c r="D68" s="110"/>
      <c r="E68" s="110">
        <f>+E69/A68</f>
        <v>0.83850174216027873</v>
      </c>
      <c r="F68" s="110"/>
      <c r="G68" s="110">
        <f>+G69/A68</f>
        <v>0.67125435540069689</v>
      </c>
      <c r="H68" s="110"/>
      <c r="I68" s="110">
        <f>+I69/A68</f>
        <v>0.38693379790940768</v>
      </c>
      <c r="J68" s="110"/>
      <c r="K68" s="110">
        <f>+K69/A68</f>
        <v>0.19041811846689896</v>
      </c>
    </row>
    <row r="69" spans="1:21" hidden="1" x14ac:dyDescent="0.2">
      <c r="A69" s="31">
        <f>+A68*0.95</f>
        <v>1704062.5</v>
      </c>
      <c r="B69" t="s">
        <v>154</v>
      </c>
      <c r="C69" s="26">
        <f>+A69-B26</f>
        <v>1704062.5</v>
      </c>
      <c r="D69" s="26"/>
      <c r="E69" s="26">
        <f>+C69-D26</f>
        <v>1504062.5</v>
      </c>
      <c r="F69" s="26"/>
      <c r="G69" s="26">
        <f>+E69-F26</f>
        <v>1204062.5</v>
      </c>
      <c r="H69" s="26"/>
      <c r="I69" s="26">
        <f>+G69-H26</f>
        <v>694062.5</v>
      </c>
      <c r="J69" s="26"/>
      <c r="K69" s="26">
        <f>+I69-J26</f>
        <v>341562.5</v>
      </c>
    </row>
    <row r="70" spans="1:21" hidden="1" x14ac:dyDescent="0.2">
      <c r="A70" s="31">
        <f>+A68*0.9</f>
        <v>1614375</v>
      </c>
      <c r="B70" s="49" t="s">
        <v>155</v>
      </c>
    </row>
    <row r="72" spans="1:21" x14ac:dyDescent="0.2">
      <c r="B72" t="s">
        <v>4</v>
      </c>
    </row>
    <row r="73" spans="1:21" x14ac:dyDescent="0.2">
      <c r="A73" s="122" t="s">
        <v>26</v>
      </c>
      <c r="B73" s="110">
        <v>0.85</v>
      </c>
      <c r="C73" s="110"/>
      <c r="D73" s="110">
        <v>0.65</v>
      </c>
      <c r="E73" s="110"/>
      <c r="F73" s="110">
        <v>0.41</v>
      </c>
      <c r="G73" s="110"/>
      <c r="H73" s="110">
        <v>0.2</v>
      </c>
      <c r="I73" s="110"/>
      <c r="J73" s="110">
        <v>0.05</v>
      </c>
    </row>
    <row r="74" spans="1:21" x14ac:dyDescent="0.2">
      <c r="A74" s="122" t="s">
        <v>6</v>
      </c>
      <c r="B74" s="52"/>
    </row>
    <row r="75" spans="1:21" x14ac:dyDescent="0.2">
      <c r="A75" s="53">
        <v>1335000</v>
      </c>
      <c r="B75" s="31">
        <f>+$A75*B$73</f>
        <v>1134750</v>
      </c>
      <c r="D75" s="31">
        <f>+$A75*D$73</f>
        <v>867750</v>
      </c>
      <c r="F75" s="31">
        <f>+$A75*F$73</f>
        <v>547350</v>
      </c>
      <c r="H75" s="31">
        <f>+$A75*H$73</f>
        <v>267000</v>
      </c>
      <c r="J75" s="31">
        <f>+$A75*J$73</f>
        <v>66750</v>
      </c>
    </row>
    <row r="76" spans="1:21" x14ac:dyDescent="0.2">
      <c r="A76" s="53">
        <v>2130000</v>
      </c>
      <c r="B76" s="31">
        <f t="shared" ref="B76:J77" si="13">+$A76*B$73</f>
        <v>1810500</v>
      </c>
      <c r="D76" s="31">
        <f t="shared" si="13"/>
        <v>1384500</v>
      </c>
      <c r="F76" s="31">
        <f t="shared" si="13"/>
        <v>873300</v>
      </c>
      <c r="H76" s="31">
        <f t="shared" si="13"/>
        <v>426000</v>
      </c>
      <c r="J76" s="31">
        <f t="shared" si="13"/>
        <v>106500</v>
      </c>
    </row>
    <row r="77" spans="1:21" ht="15" x14ac:dyDescent="0.35">
      <c r="A77" s="53">
        <v>376150</v>
      </c>
      <c r="B77" s="31">
        <f t="shared" si="13"/>
        <v>319727.5</v>
      </c>
      <c r="D77" s="31">
        <f t="shared" si="13"/>
        <v>244497.5</v>
      </c>
      <c r="F77" s="31">
        <f t="shared" si="13"/>
        <v>154221.5</v>
      </c>
      <c r="H77" s="31">
        <f t="shared" si="13"/>
        <v>75230</v>
      </c>
      <c r="J77" s="123">
        <f t="shared" si="13"/>
        <v>18807.5</v>
      </c>
    </row>
    <row r="78" spans="1:21" x14ac:dyDescent="0.2">
      <c r="J78" s="55">
        <f>SUM(J75:J77)</f>
        <v>192057.5</v>
      </c>
    </row>
    <row r="79" spans="1:21" x14ac:dyDescent="0.2">
      <c r="A79" s="122" t="s">
        <v>3</v>
      </c>
      <c r="B79" s="110">
        <v>0.95</v>
      </c>
      <c r="K79" s="110">
        <f>+J78/A57</f>
        <v>0.05</v>
      </c>
    </row>
    <row r="80" spans="1:21" x14ac:dyDescent="0.2">
      <c r="A80" s="122" t="s">
        <v>5</v>
      </c>
      <c r="B80" s="110"/>
    </row>
    <row r="81" spans="1:14" x14ac:dyDescent="0.2">
      <c r="A81" s="31">
        <f>+A75*B79</f>
        <v>1268250</v>
      </c>
      <c r="B81" s="125">
        <f>+A81-B75</f>
        <v>133500</v>
      </c>
      <c r="C81" s="126"/>
      <c r="D81" s="125">
        <f>+B75-D75</f>
        <v>267000</v>
      </c>
      <c r="E81" s="126"/>
      <c r="F81" s="125">
        <f>+D75-F75</f>
        <v>320400</v>
      </c>
      <c r="G81" s="126"/>
      <c r="H81" s="125">
        <f>+F75-H75</f>
        <v>280350</v>
      </c>
      <c r="I81" s="126"/>
      <c r="J81" s="125">
        <f>+H75-J75</f>
        <v>200250</v>
      </c>
      <c r="L81" s="55">
        <f>SUM(B81:J81)</f>
        <v>1201500</v>
      </c>
    </row>
    <row r="82" spans="1:14" x14ac:dyDescent="0.2">
      <c r="A82" s="31">
        <f>+A76*B79</f>
        <v>2023500</v>
      </c>
      <c r="B82" s="125">
        <f>+A82-B76</f>
        <v>213000</v>
      </c>
      <c r="C82" s="126"/>
      <c r="D82" s="125">
        <f>+B76-D76</f>
        <v>426000</v>
      </c>
      <c r="E82" s="126"/>
      <c r="F82" s="125">
        <f>+D76-F76</f>
        <v>511200</v>
      </c>
      <c r="G82" s="126"/>
      <c r="H82" s="125">
        <f>+F76-H76</f>
        <v>447300</v>
      </c>
      <c r="I82" s="126"/>
      <c r="J82" s="125">
        <f>+H76-J76</f>
        <v>319500</v>
      </c>
      <c r="L82" s="55">
        <f>SUM(B82:J82)</f>
        <v>1917000</v>
      </c>
    </row>
    <row r="83" spans="1:14" ht="15" x14ac:dyDescent="0.35">
      <c r="A83" s="31">
        <f>+A77*B79</f>
        <v>357342.5</v>
      </c>
      <c r="B83" s="125">
        <f>+A83-B77</f>
        <v>37615</v>
      </c>
      <c r="C83" s="126"/>
      <c r="D83" s="125">
        <f>+B77-D77</f>
        <v>75230</v>
      </c>
      <c r="E83" s="126"/>
      <c r="F83" s="125">
        <f>+D77-F77</f>
        <v>90276</v>
      </c>
      <c r="G83" s="126"/>
      <c r="H83" s="125">
        <f>+F77-H77</f>
        <v>78991.5</v>
      </c>
      <c r="I83" s="126"/>
      <c r="J83" s="125">
        <f>+H77-J77</f>
        <v>56422.5</v>
      </c>
      <c r="L83" s="124">
        <f>SUM(B83:J83)</f>
        <v>338535</v>
      </c>
    </row>
    <row r="84" spans="1:14" x14ac:dyDescent="0.2">
      <c r="A84" s="247"/>
      <c r="B84" s="22"/>
      <c r="C84" s="22"/>
      <c r="D84" s="22"/>
      <c r="E84" s="22"/>
      <c r="F84" s="22"/>
      <c r="L84" s="55">
        <f>SUM(L81:L83)</f>
        <v>3457035</v>
      </c>
      <c r="M84" s="110">
        <f>+L84/A57</f>
        <v>0.9</v>
      </c>
    </row>
    <row r="85" spans="1:14" x14ac:dyDescent="0.2">
      <c r="A85" s="247"/>
      <c r="B85" s="22"/>
      <c r="C85" s="22"/>
      <c r="D85" s="22"/>
      <c r="E85" s="22"/>
      <c r="F85" s="22"/>
    </row>
    <row r="86" spans="1:14" x14ac:dyDescent="0.2">
      <c r="A86" s="248"/>
      <c r="B86" s="249"/>
      <c r="C86" s="22"/>
      <c r="D86" s="22"/>
      <c r="E86" s="22"/>
      <c r="F86" s="22"/>
    </row>
    <row r="87" spans="1:14" x14ac:dyDescent="0.2">
      <c r="A87" s="250"/>
      <c r="B87" s="30"/>
      <c r="C87" s="22"/>
      <c r="D87" s="22"/>
      <c r="E87" s="22"/>
      <c r="F87" s="22"/>
    </row>
    <row r="88" spans="1:14" x14ac:dyDescent="0.2">
      <c r="A88" s="250"/>
      <c r="B88" s="30"/>
      <c r="C88" s="22"/>
      <c r="D88" s="22"/>
      <c r="E88" s="22"/>
      <c r="F88" s="22"/>
    </row>
    <row r="89" spans="1:14" x14ac:dyDescent="0.2">
      <c r="D89" t="s">
        <v>32</v>
      </c>
      <c r="F89" t="s">
        <v>33</v>
      </c>
      <c r="H89" t="s">
        <v>34</v>
      </c>
      <c r="J89" t="s">
        <v>35</v>
      </c>
      <c r="L89" t="s">
        <v>36</v>
      </c>
    </row>
    <row r="90" spans="1:14" x14ac:dyDescent="0.2">
      <c r="D90">
        <v>30</v>
      </c>
      <c r="F90">
        <v>31</v>
      </c>
      <c r="H90">
        <v>31</v>
      </c>
      <c r="J90">
        <v>29</v>
      </c>
      <c r="L90">
        <v>31</v>
      </c>
    </row>
    <row r="91" spans="1:14" ht="13.5" thickBot="1" x14ac:dyDescent="0.25">
      <c r="B91" s="52" t="s">
        <v>26</v>
      </c>
      <c r="C91" s="65">
        <v>0.95</v>
      </c>
    </row>
    <row r="92" spans="1:14" x14ac:dyDescent="0.2">
      <c r="A92" s="255"/>
      <c r="B92" s="93"/>
      <c r="C92" s="94"/>
      <c r="D92" s="258">
        <v>0.88</v>
      </c>
      <c r="E92" s="258"/>
      <c r="F92" s="258">
        <v>0.71</v>
      </c>
      <c r="G92" s="258"/>
      <c r="H92" s="258">
        <v>0.5</v>
      </c>
      <c r="I92" s="258"/>
      <c r="J92" s="258">
        <v>0.25</v>
      </c>
      <c r="K92" s="258"/>
      <c r="L92" s="258">
        <v>0.05</v>
      </c>
      <c r="M92" s="58"/>
    </row>
    <row r="93" spans="1:14" x14ac:dyDescent="0.2">
      <c r="A93" s="59" t="s">
        <v>213</v>
      </c>
      <c r="B93" s="252">
        <v>798065</v>
      </c>
      <c r="C93" s="253">
        <f>+B93*C$91</f>
        <v>758161.75</v>
      </c>
      <c r="D93" s="39">
        <f>B93*D$92</f>
        <v>702297.2</v>
      </c>
      <c r="E93" s="39"/>
      <c r="F93" s="39">
        <f>B93*F$92</f>
        <v>566626.15</v>
      </c>
      <c r="G93" s="39"/>
      <c r="H93" s="39">
        <f>B93*H$92</f>
        <v>399032.5</v>
      </c>
      <c r="I93" s="39"/>
      <c r="J93" s="39">
        <f>B93*J$92</f>
        <v>199516.25</v>
      </c>
      <c r="K93" s="39"/>
      <c r="L93" s="39">
        <f>B93*L$92</f>
        <v>39903.25</v>
      </c>
      <c r="M93" s="60"/>
    </row>
    <row r="94" spans="1:14" x14ac:dyDescent="0.2">
      <c r="A94" s="59"/>
      <c r="B94" s="252"/>
      <c r="C94" s="253"/>
      <c r="D94" s="39"/>
      <c r="E94" s="39"/>
      <c r="F94" s="39"/>
      <c r="G94" s="39"/>
      <c r="H94" s="39"/>
      <c r="I94" s="39"/>
      <c r="J94" s="39"/>
      <c r="K94" s="39"/>
      <c r="L94" s="39"/>
      <c r="M94" s="60"/>
      <c r="N94" s="55"/>
    </row>
    <row r="95" spans="1:14" x14ac:dyDescent="0.2">
      <c r="A95" s="59"/>
      <c r="B95" s="252"/>
      <c r="C95" s="253"/>
      <c r="D95" s="254" t="s">
        <v>216</v>
      </c>
      <c r="E95" s="254" t="s">
        <v>217</v>
      </c>
      <c r="F95" s="254" t="s">
        <v>216</v>
      </c>
      <c r="G95" s="254" t="s">
        <v>217</v>
      </c>
      <c r="H95" s="254" t="s">
        <v>216</v>
      </c>
      <c r="I95" s="254" t="s">
        <v>217</v>
      </c>
      <c r="J95" s="254" t="s">
        <v>216</v>
      </c>
      <c r="K95" s="254" t="s">
        <v>217</v>
      </c>
      <c r="L95" s="254" t="s">
        <v>216</v>
      </c>
      <c r="M95" s="262" t="s">
        <v>217</v>
      </c>
    </row>
    <row r="96" spans="1:14" x14ac:dyDescent="0.2">
      <c r="A96" s="59" t="s">
        <v>50</v>
      </c>
      <c r="B96" s="252"/>
      <c r="C96" s="253" t="s">
        <v>210</v>
      </c>
      <c r="D96" s="39">
        <f>C93-D93</f>
        <v>55864.550000000047</v>
      </c>
      <c r="E96" s="39">
        <f>+D96/D$90</f>
        <v>1862.1516666666682</v>
      </c>
      <c r="F96" s="39">
        <f>D93-F93</f>
        <v>135671.04999999993</v>
      </c>
      <c r="G96" s="39">
        <f>+F96/F$90</f>
        <v>4376.4854838709653</v>
      </c>
      <c r="H96" s="39">
        <f>F93-H93</f>
        <v>167593.65000000002</v>
      </c>
      <c r="I96" s="39">
        <f>+H96/H$90</f>
        <v>5406.2467741935488</v>
      </c>
      <c r="J96" s="39">
        <f>H93-J93</f>
        <v>199516.25</v>
      </c>
      <c r="K96" s="272">
        <f>+J96/J$90</f>
        <v>6879.8706896551721</v>
      </c>
      <c r="L96" s="39">
        <f>J93-L93</f>
        <v>159613</v>
      </c>
      <c r="M96" s="74">
        <f>+L96/L$90</f>
        <v>5148.8064516129034</v>
      </c>
    </row>
    <row r="97" spans="1:15" ht="13.5" thickBot="1" x14ac:dyDescent="0.25">
      <c r="A97" s="95"/>
      <c r="B97" s="263"/>
      <c r="C97" s="100"/>
      <c r="D97" s="96"/>
      <c r="E97" s="96"/>
      <c r="F97" s="96"/>
      <c r="G97" s="96"/>
      <c r="H97" s="96"/>
      <c r="I97" s="96"/>
      <c r="J97" s="96"/>
      <c r="K97" s="96"/>
      <c r="L97" s="96"/>
      <c r="M97" s="108"/>
    </row>
    <row r="98" spans="1:15" x14ac:dyDescent="0.2">
      <c r="A98" s="27"/>
      <c r="B98" s="252"/>
      <c r="C98" s="253"/>
      <c r="D98" s="39"/>
      <c r="E98" s="39"/>
      <c r="F98" s="39"/>
      <c r="G98" s="39"/>
      <c r="H98" s="39"/>
      <c r="I98" s="39"/>
      <c r="J98" s="39"/>
      <c r="K98" s="39"/>
      <c r="L98" s="39"/>
      <c r="M98" s="27"/>
    </row>
    <row r="99" spans="1:15" ht="13.5" thickBot="1" x14ac:dyDescent="0.25">
      <c r="A99" s="27"/>
      <c r="B99" s="252"/>
      <c r="C99" s="253"/>
      <c r="D99" s="39"/>
      <c r="E99" s="39"/>
      <c r="F99" s="39"/>
      <c r="G99" s="39"/>
      <c r="H99" s="39"/>
      <c r="I99" s="39"/>
      <c r="J99" s="39"/>
      <c r="K99" s="39"/>
      <c r="L99" s="39"/>
      <c r="M99" s="27"/>
    </row>
    <row r="100" spans="1:15" x14ac:dyDescent="0.2">
      <c r="A100" s="255"/>
      <c r="B100" s="256"/>
      <c r="C100" s="257"/>
      <c r="D100" s="258">
        <v>0.88</v>
      </c>
      <c r="E100" s="258"/>
      <c r="F100" s="258">
        <v>0.71</v>
      </c>
      <c r="G100" s="258"/>
      <c r="H100" s="258">
        <v>0.5</v>
      </c>
      <c r="I100" s="259"/>
      <c r="J100" s="258">
        <v>0.4</v>
      </c>
      <c r="K100" s="259"/>
      <c r="L100" s="258">
        <v>0.3</v>
      </c>
      <c r="M100" s="58"/>
    </row>
    <row r="101" spans="1:15" x14ac:dyDescent="0.2">
      <c r="A101" s="59" t="s">
        <v>214</v>
      </c>
      <c r="B101" s="252">
        <v>313035</v>
      </c>
      <c r="C101" s="253">
        <f>+B101*C$91</f>
        <v>297383.25</v>
      </c>
      <c r="D101" s="39">
        <f>B101*D$92</f>
        <v>275470.8</v>
      </c>
      <c r="E101" s="39"/>
      <c r="F101" s="39">
        <f>B101*F$92</f>
        <v>222254.84999999998</v>
      </c>
      <c r="G101" s="39"/>
      <c r="H101" s="39">
        <f>B101*H$92</f>
        <v>156517.5</v>
      </c>
      <c r="I101" s="39"/>
      <c r="J101" s="39">
        <f>B101*J$100</f>
        <v>125214</v>
      </c>
      <c r="K101" s="39"/>
      <c r="L101" s="260">
        <f>B101*L$100</f>
        <v>93910.5</v>
      </c>
      <c r="M101" s="60"/>
      <c r="N101" s="55"/>
      <c r="O101" s="110"/>
    </row>
    <row r="102" spans="1:15" x14ac:dyDescent="0.2">
      <c r="A102" s="59"/>
      <c r="B102" s="252"/>
      <c r="C102" s="253"/>
      <c r="D102" s="261"/>
      <c r="E102" s="261"/>
      <c r="F102" s="261"/>
      <c r="G102" s="261"/>
      <c r="H102" s="261"/>
      <c r="I102" s="261"/>
      <c r="J102" s="261"/>
      <c r="K102" s="261"/>
      <c r="L102" s="261"/>
      <c r="M102" s="74"/>
    </row>
    <row r="103" spans="1:15" x14ac:dyDescent="0.2">
      <c r="A103" s="59"/>
      <c r="B103" s="252"/>
      <c r="C103" s="253"/>
      <c r="D103" s="254" t="s">
        <v>216</v>
      </c>
      <c r="E103" s="254" t="s">
        <v>217</v>
      </c>
      <c r="F103" s="254" t="s">
        <v>216</v>
      </c>
      <c r="G103" s="254" t="s">
        <v>217</v>
      </c>
      <c r="H103" s="254" t="s">
        <v>216</v>
      </c>
      <c r="I103" s="254" t="s">
        <v>217</v>
      </c>
      <c r="J103" s="254" t="s">
        <v>216</v>
      </c>
      <c r="K103" s="254" t="s">
        <v>217</v>
      </c>
      <c r="L103" s="254" t="s">
        <v>216</v>
      </c>
      <c r="M103" s="262" t="s">
        <v>217</v>
      </c>
    </row>
    <row r="104" spans="1:15" ht="13.5" thickBot="1" x14ac:dyDescent="0.25">
      <c r="A104" s="95" t="s">
        <v>51</v>
      </c>
      <c r="B104" s="263"/>
      <c r="C104" s="100" t="s">
        <v>210</v>
      </c>
      <c r="D104" s="96">
        <f>C101-D101</f>
        <v>21912.450000000012</v>
      </c>
      <c r="E104" s="96">
        <f>+D104/D$90</f>
        <v>730.41500000000042</v>
      </c>
      <c r="F104" s="96">
        <f>D101-F101</f>
        <v>53215.950000000012</v>
      </c>
      <c r="G104" s="96">
        <f>+F104/F$90</f>
        <v>1716.6435483870971</v>
      </c>
      <c r="H104" s="96">
        <f>F101-H101</f>
        <v>65737.349999999977</v>
      </c>
      <c r="I104" s="264">
        <f>+H104/H$90</f>
        <v>2120.5596774193541</v>
      </c>
      <c r="J104" s="96">
        <f>H101-J101</f>
        <v>31303.5</v>
      </c>
      <c r="K104" s="264">
        <f>+J104/J$90</f>
        <v>1079.4310344827586</v>
      </c>
      <c r="L104" s="96">
        <f>J101-L101</f>
        <v>31303.5</v>
      </c>
      <c r="M104" s="265">
        <f>+L104/L$90</f>
        <v>1009.7903225806451</v>
      </c>
    </row>
    <row r="105" spans="1:15" x14ac:dyDescent="0.2">
      <c r="A105" s="27"/>
      <c r="B105" s="252"/>
      <c r="C105" s="253"/>
      <c r="D105" s="39"/>
      <c r="E105" s="39"/>
      <c r="F105" s="39"/>
      <c r="G105" s="39"/>
      <c r="H105" s="39"/>
      <c r="I105" s="39"/>
      <c r="J105" s="39"/>
      <c r="K105" s="272"/>
      <c r="L105" s="39"/>
      <c r="M105" s="272"/>
    </row>
    <row r="106" spans="1:15" ht="13.5" thickBot="1" x14ac:dyDescent="0.25">
      <c r="B106" s="66"/>
      <c r="C106" s="53"/>
      <c r="D106" s="55"/>
      <c r="E106" s="55"/>
      <c r="F106" s="55"/>
      <c r="G106" s="55"/>
      <c r="H106" s="55"/>
      <c r="I106" s="55"/>
      <c r="J106" s="55"/>
      <c r="K106" s="30"/>
      <c r="L106" s="55"/>
      <c r="M106" s="30"/>
    </row>
    <row r="107" spans="1:15" x14ac:dyDescent="0.2">
      <c r="A107" s="255"/>
      <c r="B107" s="256"/>
      <c r="C107" s="257"/>
      <c r="D107" s="258">
        <v>0.88</v>
      </c>
      <c r="E107" s="258"/>
      <c r="F107" s="258">
        <v>0.71</v>
      </c>
      <c r="G107" s="258"/>
      <c r="H107" s="258">
        <v>0.5</v>
      </c>
      <c r="I107" s="259"/>
      <c r="J107" s="258">
        <v>0.3</v>
      </c>
      <c r="K107" s="259"/>
      <c r="L107" s="258">
        <v>0.17</v>
      </c>
      <c r="M107" s="58"/>
    </row>
    <row r="108" spans="1:15" x14ac:dyDescent="0.2">
      <c r="A108" s="59" t="s">
        <v>215</v>
      </c>
      <c r="B108" s="252">
        <v>462890</v>
      </c>
      <c r="C108" s="253">
        <f>+B108*C$91</f>
        <v>439745.5</v>
      </c>
      <c r="D108" s="39">
        <f>B108*D$92</f>
        <v>407343.2</v>
      </c>
      <c r="E108" s="39"/>
      <c r="F108" s="39">
        <f>B108*F$92</f>
        <v>328651.89999999997</v>
      </c>
      <c r="G108" s="39"/>
      <c r="H108" s="39">
        <f>B108*H$92</f>
        <v>231445</v>
      </c>
      <c r="I108" s="39"/>
      <c r="J108" s="39">
        <f>B108*J$107</f>
        <v>138867</v>
      </c>
      <c r="K108" s="39"/>
      <c r="L108" s="39">
        <f>B108*L$107</f>
        <v>78691.3</v>
      </c>
      <c r="M108" s="60"/>
    </row>
    <row r="109" spans="1:15" x14ac:dyDescent="0.2">
      <c r="A109" s="59"/>
      <c r="B109" s="252"/>
      <c r="C109" s="253"/>
      <c r="D109" s="39"/>
      <c r="E109" s="39"/>
      <c r="F109" s="39"/>
      <c r="G109" s="39"/>
      <c r="H109" s="39"/>
      <c r="I109" s="39"/>
      <c r="J109" s="39"/>
      <c r="K109" s="39"/>
      <c r="L109" s="39"/>
      <c r="M109" s="60"/>
    </row>
    <row r="110" spans="1:15" x14ac:dyDescent="0.2">
      <c r="A110" s="59"/>
      <c r="B110" s="252"/>
      <c r="C110" s="253"/>
      <c r="D110" s="254" t="s">
        <v>216</v>
      </c>
      <c r="E110" s="254" t="s">
        <v>217</v>
      </c>
      <c r="F110" s="254" t="s">
        <v>216</v>
      </c>
      <c r="G110" s="254" t="s">
        <v>217</v>
      </c>
      <c r="H110" s="254" t="s">
        <v>216</v>
      </c>
      <c r="I110" s="254" t="s">
        <v>217</v>
      </c>
      <c r="J110" s="254" t="s">
        <v>216</v>
      </c>
      <c r="K110" s="254" t="s">
        <v>217</v>
      </c>
      <c r="L110" s="254" t="s">
        <v>216</v>
      </c>
      <c r="M110" s="262" t="s">
        <v>217</v>
      </c>
    </row>
    <row r="111" spans="1:15" ht="13.5" thickBot="1" x14ac:dyDescent="0.25">
      <c r="A111" s="95" t="s">
        <v>52</v>
      </c>
      <c r="B111" s="263"/>
      <c r="C111" s="100" t="s">
        <v>210</v>
      </c>
      <c r="D111" s="96">
        <f>C108-D108</f>
        <v>32402.299999999988</v>
      </c>
      <c r="E111" s="96">
        <f>+D111/D$90</f>
        <v>1080.0766666666664</v>
      </c>
      <c r="F111" s="96">
        <f>D108-F108</f>
        <v>78691.300000000047</v>
      </c>
      <c r="G111" s="96">
        <f>+F111/F$90</f>
        <v>2538.4290322580659</v>
      </c>
      <c r="H111" s="96">
        <f>F108-H108</f>
        <v>97206.899999999965</v>
      </c>
      <c r="I111" s="96">
        <f>+H111/H$90</f>
        <v>3135.7064516129021</v>
      </c>
      <c r="J111" s="96">
        <f>H108-J108</f>
        <v>92578</v>
      </c>
      <c r="K111" s="264">
        <f>+J111/J$90</f>
        <v>3192.344827586207</v>
      </c>
      <c r="L111" s="96">
        <f>J108-L108</f>
        <v>60175.7</v>
      </c>
      <c r="M111" s="265">
        <f>+L111/L$90</f>
        <v>1941.1516129032257</v>
      </c>
    </row>
    <row r="112" spans="1:15" x14ac:dyDescent="0.2">
      <c r="A112" s="27"/>
      <c r="B112" s="252"/>
      <c r="C112" s="253"/>
      <c r="D112" s="39"/>
      <c r="E112" s="39"/>
      <c r="F112" s="39"/>
      <c r="G112" s="39"/>
      <c r="H112" s="39"/>
      <c r="I112" s="39"/>
      <c r="J112" s="39"/>
      <c r="K112" s="272"/>
      <c r="L112" s="39"/>
      <c r="M112" s="39"/>
    </row>
    <row r="113" spans="1:13" ht="13.5" thickBot="1" x14ac:dyDescent="0.25"/>
    <row r="114" spans="1:13" x14ac:dyDescent="0.2">
      <c r="A114" s="255"/>
      <c r="B114" s="256"/>
      <c r="C114" s="257"/>
      <c r="D114" s="258">
        <v>0.88</v>
      </c>
      <c r="E114" s="258"/>
      <c r="F114" s="258">
        <v>0.71</v>
      </c>
      <c r="G114" s="258"/>
      <c r="H114" s="258">
        <v>0.5</v>
      </c>
      <c r="I114" s="258"/>
      <c r="J114" s="258">
        <v>0.35</v>
      </c>
      <c r="K114" s="258"/>
      <c r="L114" s="258">
        <v>0.22</v>
      </c>
      <c r="M114" s="267"/>
    </row>
    <row r="115" spans="1:13" x14ac:dyDescent="0.2">
      <c r="A115" s="59" t="s">
        <v>218</v>
      </c>
      <c r="B115" s="252">
        <v>227448</v>
      </c>
      <c r="C115" s="253">
        <f>+B115*C$91</f>
        <v>216075.59999999998</v>
      </c>
      <c r="D115" s="39">
        <f>B115*D$114</f>
        <v>200154.23999999999</v>
      </c>
      <c r="E115" s="39"/>
      <c r="F115" s="39">
        <f>B115*F$114</f>
        <v>161488.07999999999</v>
      </c>
      <c r="G115" s="39"/>
      <c r="H115" s="39">
        <f>B115*H$114</f>
        <v>113724</v>
      </c>
      <c r="I115" s="39"/>
      <c r="J115" s="260">
        <f>B115*J$114</f>
        <v>79606.799999999988</v>
      </c>
      <c r="K115" s="39"/>
      <c r="L115" s="260">
        <f>B115*L$114</f>
        <v>50038.559999999998</v>
      </c>
      <c r="M115" s="74"/>
    </row>
    <row r="116" spans="1:13" x14ac:dyDescent="0.2">
      <c r="A116" s="59"/>
      <c r="B116" s="252"/>
      <c r="C116" s="253"/>
      <c r="D116" s="39"/>
      <c r="E116" s="39"/>
      <c r="F116" s="39"/>
      <c r="G116" s="39"/>
      <c r="H116" s="39"/>
      <c r="I116" s="39"/>
      <c r="J116" s="260"/>
      <c r="K116" s="39"/>
      <c r="L116" s="260"/>
      <c r="M116" s="74"/>
    </row>
    <row r="117" spans="1:13" x14ac:dyDescent="0.2">
      <c r="A117" s="59"/>
      <c r="B117" s="252"/>
      <c r="C117" s="253"/>
      <c r="D117" s="254" t="s">
        <v>216</v>
      </c>
      <c r="E117" s="254" t="s">
        <v>217</v>
      </c>
      <c r="F117" s="254" t="s">
        <v>216</v>
      </c>
      <c r="G117" s="254" t="s">
        <v>217</v>
      </c>
      <c r="H117" s="254" t="s">
        <v>216</v>
      </c>
      <c r="I117" s="254" t="s">
        <v>217</v>
      </c>
      <c r="J117" s="254" t="s">
        <v>216</v>
      </c>
      <c r="K117" s="254" t="s">
        <v>217</v>
      </c>
      <c r="L117" s="254" t="s">
        <v>216</v>
      </c>
      <c r="M117" s="262" t="s">
        <v>217</v>
      </c>
    </row>
    <row r="118" spans="1:13" ht="13.5" thickBot="1" x14ac:dyDescent="0.25">
      <c r="A118" s="95" t="s">
        <v>53</v>
      </c>
      <c r="B118" s="263"/>
      <c r="C118" s="100" t="s">
        <v>210</v>
      </c>
      <c r="D118" s="96">
        <f>C115-D115</f>
        <v>15921.359999999986</v>
      </c>
      <c r="E118" s="96">
        <f>+D118/D$90</f>
        <v>530.71199999999953</v>
      </c>
      <c r="F118" s="96">
        <f>D115-F115</f>
        <v>38666.160000000003</v>
      </c>
      <c r="G118" s="96">
        <f>+F118/F$90</f>
        <v>1247.2954838709679</v>
      </c>
      <c r="H118" s="96">
        <f>F115-H115</f>
        <v>47764.079999999987</v>
      </c>
      <c r="I118" s="96">
        <f>+H118/H$90</f>
        <v>1540.7767741935479</v>
      </c>
      <c r="J118" s="96">
        <f>H115-J115</f>
        <v>34117.200000000012</v>
      </c>
      <c r="K118" s="96">
        <f>+J118/J$90</f>
        <v>1176.4551724137934</v>
      </c>
      <c r="L118" s="96">
        <f>J115-L115</f>
        <v>29568.239999999991</v>
      </c>
      <c r="M118" s="266">
        <f>+L118/L$90</f>
        <v>953.81419354838681</v>
      </c>
    </row>
    <row r="119" spans="1:13" x14ac:dyDescent="0.2">
      <c r="A119" s="27"/>
      <c r="B119" s="252"/>
      <c r="C119" s="253"/>
      <c r="D119" s="39"/>
      <c r="E119" s="39"/>
      <c r="F119" s="39"/>
      <c r="G119" s="39"/>
      <c r="H119" s="39"/>
      <c r="I119" s="39"/>
      <c r="J119" s="39"/>
      <c r="K119" s="39"/>
      <c r="L119" s="39"/>
      <c r="M119" s="39"/>
    </row>
    <row r="120" spans="1:13" ht="13.5" thickBot="1" x14ac:dyDescent="0.25"/>
    <row r="121" spans="1:13" x14ac:dyDescent="0.2">
      <c r="A121" s="255"/>
      <c r="B121" s="256"/>
      <c r="C121" s="257"/>
      <c r="D121" s="258">
        <v>0.88</v>
      </c>
      <c r="E121" s="258"/>
      <c r="F121" s="258">
        <v>0.71</v>
      </c>
      <c r="G121" s="259"/>
      <c r="H121" s="258">
        <v>0.52</v>
      </c>
      <c r="I121" s="259"/>
      <c r="J121" s="268">
        <v>0.4</v>
      </c>
      <c r="K121" s="259"/>
      <c r="L121" s="268">
        <v>0.27</v>
      </c>
      <c r="M121" s="269"/>
    </row>
    <row r="122" spans="1:13" x14ac:dyDescent="0.2">
      <c r="A122" s="59" t="s">
        <v>219</v>
      </c>
      <c r="B122" s="252">
        <v>2752325</v>
      </c>
      <c r="C122" s="253">
        <f>+B122*C$91</f>
        <v>2614708.75</v>
      </c>
      <c r="D122" s="39">
        <f>B122*D$114</f>
        <v>2422046</v>
      </c>
      <c r="E122" s="39"/>
      <c r="F122" s="39">
        <f>B122*F$114</f>
        <v>1954150.75</v>
      </c>
      <c r="G122" s="39"/>
      <c r="H122" s="39">
        <f>B122*H$121</f>
        <v>1431209</v>
      </c>
      <c r="I122" s="39"/>
      <c r="J122" s="39">
        <f>B122*J$121</f>
        <v>1100930</v>
      </c>
      <c r="K122" s="39"/>
      <c r="L122" s="260">
        <f>B122*L$121</f>
        <v>743127.75</v>
      </c>
      <c r="M122" s="74"/>
    </row>
    <row r="123" spans="1:13" x14ac:dyDescent="0.2">
      <c r="A123" s="59"/>
      <c r="B123" s="252"/>
      <c r="C123" s="253"/>
      <c r="D123" s="39"/>
      <c r="E123" s="39"/>
      <c r="F123" s="39"/>
      <c r="G123" s="39"/>
      <c r="H123" s="39"/>
      <c r="I123" s="39"/>
      <c r="J123" s="39"/>
      <c r="K123" s="39"/>
      <c r="L123" s="260"/>
      <c r="M123" s="74"/>
    </row>
    <row r="124" spans="1:13" x14ac:dyDescent="0.2">
      <c r="A124" s="59"/>
      <c r="B124" s="252"/>
      <c r="C124" s="253"/>
      <c r="D124" s="254" t="s">
        <v>216</v>
      </c>
      <c r="E124" s="254" t="s">
        <v>217</v>
      </c>
      <c r="F124" s="254" t="s">
        <v>216</v>
      </c>
      <c r="G124" s="254" t="s">
        <v>217</v>
      </c>
      <c r="H124" s="254" t="s">
        <v>216</v>
      </c>
      <c r="I124" s="254" t="s">
        <v>217</v>
      </c>
      <c r="J124" s="254" t="s">
        <v>216</v>
      </c>
      <c r="K124" s="254" t="s">
        <v>217</v>
      </c>
      <c r="L124" s="254" t="s">
        <v>216</v>
      </c>
      <c r="M124" s="262" t="s">
        <v>217</v>
      </c>
    </row>
    <row r="125" spans="1:13" ht="13.5" thickBot="1" x14ac:dyDescent="0.25">
      <c r="A125" s="95" t="s">
        <v>54</v>
      </c>
      <c r="B125" s="263"/>
      <c r="C125" s="100" t="s">
        <v>210</v>
      </c>
      <c r="D125" s="96">
        <f>C122-D122</f>
        <v>192662.75</v>
      </c>
      <c r="E125" s="96">
        <f>+D125/D$90</f>
        <v>6422.0916666666662</v>
      </c>
      <c r="F125" s="96">
        <f>D122-F122</f>
        <v>467895.25</v>
      </c>
      <c r="G125" s="96">
        <f>+F125/F$90</f>
        <v>15093.395161290322</v>
      </c>
      <c r="H125" s="96">
        <f>F122-H122</f>
        <v>522941.75</v>
      </c>
      <c r="I125" s="264">
        <f>+H125/H$90</f>
        <v>16869.08870967742</v>
      </c>
      <c r="J125" s="96">
        <f>H122-J122</f>
        <v>330279</v>
      </c>
      <c r="K125" s="264">
        <f>+J125/J$90</f>
        <v>11388.931034482759</v>
      </c>
      <c r="L125" s="96">
        <f>J122-L122</f>
        <v>357802.25</v>
      </c>
      <c r="M125" s="265">
        <f>+L125/L$90</f>
        <v>11542.008064516129</v>
      </c>
    </row>
    <row r="126" spans="1:13" x14ac:dyDescent="0.2">
      <c r="B126" s="66"/>
      <c r="C126" s="53"/>
      <c r="D126" s="55"/>
      <c r="E126" s="55"/>
      <c r="F126" s="55"/>
      <c r="G126" s="55"/>
      <c r="H126" s="55"/>
      <c r="I126" s="55"/>
      <c r="J126" s="55"/>
      <c r="K126" s="55"/>
      <c r="L126" s="55"/>
      <c r="M126" s="55"/>
    </row>
    <row r="127" spans="1:13" ht="13.5" thickBot="1" x14ac:dyDescent="0.25">
      <c r="B127" s="66"/>
      <c r="C127" s="53"/>
      <c r="D127" s="55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1:13" x14ac:dyDescent="0.2">
      <c r="A128" s="255"/>
      <c r="B128" s="256"/>
      <c r="C128" s="257"/>
      <c r="D128" s="258">
        <v>0.88</v>
      </c>
      <c r="E128" s="258"/>
      <c r="F128" s="258">
        <v>0.71</v>
      </c>
      <c r="G128" s="259"/>
      <c r="H128" s="258">
        <v>0.54</v>
      </c>
      <c r="I128" s="259"/>
      <c r="J128" s="268">
        <v>0.38</v>
      </c>
      <c r="K128" s="259"/>
      <c r="L128" s="268">
        <v>0.27</v>
      </c>
      <c r="M128" s="58"/>
    </row>
    <row r="129" spans="1:15" x14ac:dyDescent="0.2">
      <c r="A129" s="59" t="s">
        <v>55</v>
      </c>
      <c r="B129" s="270">
        <v>1793750</v>
      </c>
      <c r="C129" s="253">
        <f>+B129*C$91</f>
        <v>1704062.5</v>
      </c>
      <c r="D129" s="260">
        <f>B129*D$128</f>
        <v>1578500</v>
      </c>
      <c r="E129" s="39"/>
      <c r="F129" s="39">
        <f t="shared" ref="F129:L129" si="14">D129*F$128</f>
        <v>1120735</v>
      </c>
      <c r="G129" s="39">
        <f t="shared" si="14"/>
        <v>0</v>
      </c>
      <c r="H129" s="39">
        <f t="shared" si="14"/>
        <v>605196.9</v>
      </c>
      <c r="I129" s="39">
        <f t="shared" si="14"/>
        <v>0</v>
      </c>
      <c r="J129" s="39">
        <f t="shared" si="14"/>
        <v>229974.82200000001</v>
      </c>
      <c r="K129" s="39">
        <f t="shared" si="14"/>
        <v>0</v>
      </c>
      <c r="L129" s="39">
        <f t="shared" si="14"/>
        <v>62093.201940000006</v>
      </c>
      <c r="M129" s="74"/>
    </row>
    <row r="130" spans="1:15" ht="13.5" thickBot="1" x14ac:dyDescent="0.25">
      <c r="A130" s="95"/>
      <c r="B130" s="100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8"/>
    </row>
    <row r="131" spans="1:15" x14ac:dyDescent="0.2">
      <c r="O131" s="110"/>
    </row>
    <row r="132" spans="1:15" x14ac:dyDescent="0.2">
      <c r="N132" s="55"/>
      <c r="O132" s="110"/>
    </row>
    <row r="136" spans="1:15" x14ac:dyDescent="0.2">
      <c r="B136" s="54"/>
      <c r="C136" s="55"/>
    </row>
  </sheetData>
  <mergeCells count="6">
    <mergeCell ref="A54:L54"/>
    <mergeCell ref="J11:K11"/>
    <mergeCell ref="B11:C11"/>
    <mergeCell ref="D11:E11"/>
    <mergeCell ref="F11:G11"/>
    <mergeCell ref="H11:I11"/>
  </mergeCells>
  <phoneticPr fontId="0" type="noConversion"/>
  <pageMargins left="0.64" right="0.62" top="1" bottom="1" header="0.5" footer="0.5"/>
  <pageSetup scale="64" orientation="landscape" r:id="rId1"/>
  <headerFooter alignWithMargins="0">
    <oddHeader xml:space="preserve">&amp;RCASE NO. 2015-00343
ATTACHMENT 47
TO STAFF DR NO. 1-59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0"/>
  <sheetViews>
    <sheetView zoomScaleNormal="100" workbookViewId="0">
      <selection activeCell="B10" sqref="B10"/>
    </sheetView>
  </sheetViews>
  <sheetFormatPr defaultRowHeight="12.75" x14ac:dyDescent="0.2"/>
  <cols>
    <col min="2" max="7" width="12.85546875" bestFit="1" customWidth="1"/>
    <col min="8" max="8" width="11.28515625" bestFit="1" customWidth="1"/>
  </cols>
  <sheetData>
    <row r="6" spans="1:8" x14ac:dyDescent="0.2">
      <c r="B6" t="s">
        <v>25</v>
      </c>
    </row>
    <row r="8" spans="1:8" x14ac:dyDescent="0.2">
      <c r="B8" s="52" t="s">
        <v>26</v>
      </c>
      <c r="C8" s="109">
        <v>0.9</v>
      </c>
      <c r="D8" s="40">
        <v>0.9</v>
      </c>
      <c r="E8" s="40">
        <v>0.85</v>
      </c>
      <c r="F8" s="40">
        <v>0.8</v>
      </c>
      <c r="G8" s="40">
        <v>0.75</v>
      </c>
    </row>
    <row r="9" spans="1:8" x14ac:dyDescent="0.2">
      <c r="B9" s="52"/>
      <c r="C9" s="52" t="s">
        <v>148</v>
      </c>
      <c r="D9" s="40"/>
      <c r="E9" s="40"/>
      <c r="F9" s="40"/>
      <c r="G9" s="40"/>
    </row>
    <row r="10" spans="1:8" x14ac:dyDescent="0.2">
      <c r="A10" t="s">
        <v>27</v>
      </c>
      <c r="B10" s="29">
        <v>1335000</v>
      </c>
      <c r="C10" s="31">
        <f>+B10*C8</f>
        <v>1201500</v>
      </c>
      <c r="D10" s="53">
        <f>+B10*D8</f>
        <v>1201500</v>
      </c>
      <c r="E10" s="53">
        <f>+B10*E8</f>
        <v>1134750</v>
      </c>
      <c r="F10" s="53">
        <f>+B10*F8</f>
        <v>1068000</v>
      </c>
      <c r="G10" s="53">
        <f>+B10*G8</f>
        <v>1001250</v>
      </c>
    </row>
    <row r="11" spans="1:8" x14ac:dyDescent="0.2">
      <c r="A11" t="s">
        <v>28</v>
      </c>
      <c r="B11" s="29">
        <v>2130000</v>
      </c>
      <c r="C11" s="31">
        <f>+B11*C8</f>
        <v>1917000</v>
      </c>
      <c r="D11" s="53">
        <f>+B11*D8</f>
        <v>1917000</v>
      </c>
      <c r="E11" s="53">
        <f>+B11*E8</f>
        <v>1810500</v>
      </c>
      <c r="F11" s="53">
        <f>+B11*F8</f>
        <v>1704000</v>
      </c>
      <c r="G11" s="53">
        <f>+B11*G8</f>
        <v>1597500</v>
      </c>
    </row>
    <row r="12" spans="1:8" x14ac:dyDescent="0.2">
      <c r="A12" t="s">
        <v>29</v>
      </c>
      <c r="B12" s="53">
        <v>376150</v>
      </c>
      <c r="C12" s="31">
        <f>+B12*C8</f>
        <v>338535</v>
      </c>
      <c r="D12" s="53">
        <f>+B12*D8</f>
        <v>338535</v>
      </c>
      <c r="E12" s="53">
        <f>+B12*E8</f>
        <v>319727.5</v>
      </c>
      <c r="F12" s="53">
        <f>+B12*F8</f>
        <v>300920</v>
      </c>
      <c r="G12" s="53">
        <f>+B12*G8</f>
        <v>282112.5</v>
      </c>
    </row>
    <row r="13" spans="1:8" x14ac:dyDescent="0.2">
      <c r="B13" s="53"/>
      <c r="D13" s="53"/>
      <c r="E13" s="53"/>
      <c r="F13" s="53"/>
      <c r="G13" s="53"/>
    </row>
    <row r="14" spans="1:8" x14ac:dyDescent="0.2">
      <c r="B14" s="54" t="s">
        <v>30</v>
      </c>
      <c r="D14" s="53"/>
      <c r="E14" s="53"/>
      <c r="F14" s="53"/>
      <c r="G14" s="53"/>
    </row>
    <row r="15" spans="1:8" x14ac:dyDescent="0.2">
      <c r="A15" t="s">
        <v>27</v>
      </c>
      <c r="B15" s="53"/>
      <c r="D15" s="53">
        <f t="shared" ref="D15:G17" si="0">+$B10-D10</f>
        <v>133500</v>
      </c>
      <c r="E15" s="53">
        <f t="shared" si="0"/>
        <v>200250</v>
      </c>
      <c r="F15" s="53">
        <f t="shared" si="0"/>
        <v>267000</v>
      </c>
      <c r="G15" s="53">
        <f t="shared" si="0"/>
        <v>333750</v>
      </c>
      <c r="H15" s="55"/>
    </row>
    <row r="16" spans="1:8" x14ac:dyDescent="0.2">
      <c r="A16" t="s">
        <v>28</v>
      </c>
      <c r="B16" s="53"/>
      <c r="D16" s="53">
        <f t="shared" si="0"/>
        <v>213000</v>
      </c>
      <c r="E16" s="53">
        <f t="shared" si="0"/>
        <v>319500</v>
      </c>
      <c r="F16" s="53">
        <f t="shared" si="0"/>
        <v>426000</v>
      </c>
      <c r="G16" s="53">
        <f t="shared" si="0"/>
        <v>532500</v>
      </c>
    </row>
    <row r="17" spans="1:8" x14ac:dyDescent="0.2">
      <c r="A17" t="s">
        <v>29</v>
      </c>
      <c r="B17" s="53"/>
      <c r="D17" s="53">
        <f t="shared" si="0"/>
        <v>37615</v>
      </c>
      <c r="E17" s="53">
        <f t="shared" si="0"/>
        <v>56422.5</v>
      </c>
      <c r="F17" s="53">
        <f t="shared" si="0"/>
        <v>75230</v>
      </c>
      <c r="G17" s="53">
        <f t="shared" si="0"/>
        <v>94037.5</v>
      </c>
    </row>
    <row r="18" spans="1:8" x14ac:dyDescent="0.2">
      <c r="B18" s="53"/>
      <c r="D18" s="53"/>
      <c r="E18" s="53"/>
      <c r="F18" s="53"/>
      <c r="G18" s="53"/>
    </row>
    <row r="19" spans="1:8" x14ac:dyDescent="0.2">
      <c r="B19" s="53"/>
      <c r="D19" s="53"/>
      <c r="E19" s="53"/>
      <c r="F19" s="53"/>
      <c r="G19" s="53"/>
    </row>
    <row r="22" spans="1:8" x14ac:dyDescent="0.2">
      <c r="B22" s="52" t="s">
        <v>31</v>
      </c>
      <c r="D22" s="40">
        <v>0.75</v>
      </c>
      <c r="E22" s="40">
        <v>0.8</v>
      </c>
      <c r="F22" s="40">
        <v>0.85</v>
      </c>
      <c r="G22" s="40">
        <v>0.9</v>
      </c>
    </row>
    <row r="24" spans="1:8" x14ac:dyDescent="0.2">
      <c r="A24" t="s">
        <v>27</v>
      </c>
      <c r="B24" s="29">
        <v>18631</v>
      </c>
      <c r="D24" s="53">
        <f t="shared" ref="D24:G26" si="1">+$B24*D$22</f>
        <v>13973.25</v>
      </c>
      <c r="E24" s="53">
        <f t="shared" si="1"/>
        <v>14904.800000000001</v>
      </c>
      <c r="F24" s="53">
        <f t="shared" si="1"/>
        <v>15836.35</v>
      </c>
      <c r="G24" s="53">
        <f t="shared" si="1"/>
        <v>16767.900000000001</v>
      </c>
    </row>
    <row r="25" spans="1:8" x14ac:dyDescent="0.2">
      <c r="A25" t="s">
        <v>28</v>
      </c>
      <c r="B25" s="29">
        <v>16702</v>
      </c>
      <c r="D25" s="53">
        <f t="shared" si="1"/>
        <v>12526.5</v>
      </c>
      <c r="E25" s="53">
        <f t="shared" si="1"/>
        <v>13361.6</v>
      </c>
      <c r="F25" s="53">
        <f t="shared" si="1"/>
        <v>14196.699999999999</v>
      </c>
      <c r="G25" s="53">
        <f t="shared" si="1"/>
        <v>15031.800000000001</v>
      </c>
    </row>
    <row r="26" spans="1:8" x14ac:dyDescent="0.2">
      <c r="A26" t="s">
        <v>29</v>
      </c>
      <c r="B26" s="53">
        <v>5727</v>
      </c>
      <c r="D26" s="53">
        <f t="shared" si="1"/>
        <v>4295.25</v>
      </c>
      <c r="E26" s="53">
        <f t="shared" si="1"/>
        <v>4581.6000000000004</v>
      </c>
      <c r="F26" s="53">
        <f t="shared" si="1"/>
        <v>4867.95</v>
      </c>
      <c r="G26" s="53">
        <f t="shared" si="1"/>
        <v>5154.3</v>
      </c>
    </row>
    <row r="27" spans="1:8" x14ac:dyDescent="0.2">
      <c r="B27" s="53"/>
      <c r="D27" s="53"/>
      <c r="E27" s="53"/>
      <c r="F27" s="53"/>
      <c r="G27" s="53"/>
    </row>
    <row r="28" spans="1:8" x14ac:dyDescent="0.2">
      <c r="B28" s="53"/>
      <c r="D28" s="54" t="s">
        <v>32</v>
      </c>
      <c r="E28" s="54" t="s">
        <v>33</v>
      </c>
      <c r="F28" s="54" t="s">
        <v>34</v>
      </c>
      <c r="G28" s="54" t="s">
        <v>35</v>
      </c>
      <c r="H28" s="54" t="s">
        <v>36</v>
      </c>
    </row>
    <row r="30" spans="1:8" x14ac:dyDescent="0.2">
      <c r="A30" t="s">
        <v>13</v>
      </c>
      <c r="D30" s="53">
        <f>+B11*0.95</f>
        <v>2023500</v>
      </c>
      <c r="E30" s="53">
        <f>+D30-(8820*30)</f>
        <v>1758900</v>
      </c>
      <c r="F30" s="53">
        <f>+E30-(15242*31)</f>
        <v>1286398</v>
      </c>
      <c r="G30" s="53">
        <f>+F30-(15242*31)</f>
        <v>813896</v>
      </c>
      <c r="H30" s="53">
        <f>+G30-(13500*28)</f>
        <v>435896</v>
      </c>
    </row>
  </sheetData>
  <phoneticPr fontId="14" type="noConversion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79"/>
  <sheetViews>
    <sheetView zoomScaleNormal="100" workbookViewId="0">
      <selection activeCell="G8" sqref="G8"/>
    </sheetView>
  </sheetViews>
  <sheetFormatPr defaultRowHeight="12.75" x14ac:dyDescent="0.2"/>
  <cols>
    <col min="1" max="1" width="10.28515625" bestFit="1" customWidth="1"/>
    <col min="2" max="2" width="13.140625" bestFit="1" customWidth="1"/>
    <col min="3" max="3" width="11.7109375" bestFit="1" customWidth="1"/>
    <col min="4" max="4" width="11.85546875" bestFit="1" customWidth="1"/>
    <col min="5" max="5" width="14.7109375" bestFit="1" customWidth="1"/>
    <col min="6" max="6" width="13.85546875" bestFit="1" customWidth="1"/>
    <col min="7" max="7" width="14.7109375" bestFit="1" customWidth="1"/>
    <col min="8" max="8" width="14.5703125" bestFit="1" customWidth="1"/>
    <col min="9" max="9" width="14.7109375" bestFit="1" customWidth="1"/>
    <col min="10" max="10" width="14.28515625" bestFit="1" customWidth="1"/>
    <col min="11" max="11" width="14.7109375" bestFit="1" customWidth="1"/>
    <col min="12" max="12" width="13.7109375" bestFit="1" customWidth="1"/>
    <col min="13" max="13" width="12.85546875" bestFit="1" customWidth="1"/>
    <col min="14" max="14" width="11.85546875" bestFit="1" customWidth="1"/>
  </cols>
  <sheetData>
    <row r="3" spans="1:14" ht="13.5" thickBot="1" x14ac:dyDescent="0.25">
      <c r="B3" t="s">
        <v>37</v>
      </c>
    </row>
    <row r="4" spans="1:14" x14ac:dyDescent="0.2">
      <c r="B4" t="s">
        <v>38</v>
      </c>
      <c r="E4" s="56">
        <v>30</v>
      </c>
      <c r="F4" s="57"/>
      <c r="G4" s="56">
        <v>31</v>
      </c>
      <c r="H4" s="57"/>
      <c r="I4" s="56">
        <v>31</v>
      </c>
      <c r="J4" s="57"/>
      <c r="K4" s="277">
        <v>29</v>
      </c>
      <c r="L4" s="57"/>
      <c r="M4" s="56">
        <v>31</v>
      </c>
      <c r="N4" s="58"/>
    </row>
    <row r="5" spans="1:14" x14ac:dyDescent="0.2">
      <c r="C5" s="55"/>
      <c r="E5" s="59" t="s">
        <v>39</v>
      </c>
      <c r="F5" s="60" t="s">
        <v>32</v>
      </c>
      <c r="G5" s="59" t="s">
        <v>40</v>
      </c>
      <c r="H5" s="60" t="s">
        <v>33</v>
      </c>
      <c r="I5" s="61" t="s">
        <v>41</v>
      </c>
      <c r="J5" s="60" t="s">
        <v>34</v>
      </c>
      <c r="K5" s="61" t="s">
        <v>42</v>
      </c>
      <c r="L5" s="62" t="s">
        <v>35</v>
      </c>
      <c r="M5" s="61" t="s">
        <v>43</v>
      </c>
      <c r="N5" s="60" t="s">
        <v>36</v>
      </c>
    </row>
    <row r="6" spans="1:14" x14ac:dyDescent="0.2">
      <c r="C6" s="55"/>
      <c r="E6" s="59" t="s">
        <v>44</v>
      </c>
      <c r="F6" s="60" t="s">
        <v>45</v>
      </c>
      <c r="G6" s="59" t="s">
        <v>44</v>
      </c>
      <c r="H6" s="60" t="s">
        <v>45</v>
      </c>
      <c r="I6" s="61" t="s">
        <v>44</v>
      </c>
      <c r="J6" s="60" t="s">
        <v>45</v>
      </c>
      <c r="K6" s="61" t="s">
        <v>44</v>
      </c>
      <c r="L6" s="62" t="s">
        <v>45</v>
      </c>
      <c r="M6" s="61" t="s">
        <v>44</v>
      </c>
      <c r="N6" s="60" t="s">
        <v>45</v>
      </c>
    </row>
    <row r="7" spans="1:14" x14ac:dyDescent="0.2">
      <c r="C7" s="63" t="s">
        <v>46</v>
      </c>
      <c r="D7" s="63" t="s">
        <v>47</v>
      </c>
      <c r="E7" s="59" t="s">
        <v>48</v>
      </c>
      <c r="F7" s="64" t="s">
        <v>49</v>
      </c>
      <c r="G7" s="59" t="s">
        <v>48</v>
      </c>
      <c r="H7" s="64" t="s">
        <v>49</v>
      </c>
      <c r="I7" s="61" t="s">
        <v>48</v>
      </c>
      <c r="J7" s="64" t="s">
        <v>49</v>
      </c>
      <c r="K7" s="61" t="s">
        <v>48</v>
      </c>
      <c r="L7" s="64" t="s">
        <v>49</v>
      </c>
      <c r="M7" s="61" t="s">
        <v>48</v>
      </c>
      <c r="N7" s="64" t="s">
        <v>49</v>
      </c>
    </row>
    <row r="8" spans="1:14" x14ac:dyDescent="0.2">
      <c r="B8" s="52" t="s">
        <v>26</v>
      </c>
      <c r="C8" s="65">
        <v>0.95</v>
      </c>
      <c r="D8" s="65">
        <v>0.05</v>
      </c>
      <c r="E8" s="59"/>
      <c r="F8" s="60"/>
      <c r="G8" s="59"/>
      <c r="H8" s="60"/>
      <c r="I8" s="59"/>
      <c r="J8" s="60"/>
      <c r="K8" s="59"/>
      <c r="L8" s="60"/>
      <c r="M8" s="59"/>
      <c r="N8" s="60"/>
    </row>
    <row r="9" spans="1:14" x14ac:dyDescent="0.2">
      <c r="B9" s="52"/>
      <c r="E9" s="59"/>
      <c r="F9" s="60"/>
      <c r="G9" s="59"/>
      <c r="H9" s="60"/>
      <c r="I9" s="59"/>
      <c r="J9" s="60"/>
      <c r="K9" s="59"/>
      <c r="L9" s="60"/>
      <c r="M9" s="59"/>
      <c r="N9" s="60"/>
    </row>
    <row r="10" spans="1:14" x14ac:dyDescent="0.2">
      <c r="A10" t="s">
        <v>50</v>
      </c>
      <c r="B10" s="66">
        <v>798065</v>
      </c>
      <c r="C10" s="53">
        <f t="shared" ref="C10:C15" si="0">+B10*C$8</f>
        <v>758161.75</v>
      </c>
      <c r="D10" s="53">
        <f t="shared" ref="D10:D15" si="1">+B10*D$8</f>
        <v>39903.25</v>
      </c>
      <c r="E10" s="59"/>
      <c r="F10" s="60"/>
      <c r="G10" s="59"/>
      <c r="H10" s="60"/>
      <c r="I10" s="59"/>
      <c r="J10" s="60"/>
      <c r="K10" s="59"/>
      <c r="L10" s="60"/>
      <c r="M10" s="59"/>
      <c r="N10" s="60"/>
    </row>
    <row r="11" spans="1:14" x14ac:dyDescent="0.2">
      <c r="A11" t="s">
        <v>51</v>
      </c>
      <c r="B11" s="66">
        <v>313035</v>
      </c>
      <c r="C11" s="53">
        <f t="shared" si="0"/>
        <v>297383.25</v>
      </c>
      <c r="D11" s="53">
        <f t="shared" si="1"/>
        <v>15651.75</v>
      </c>
      <c r="E11" s="59"/>
      <c r="F11" s="60"/>
      <c r="G11" s="59"/>
      <c r="H11" s="60"/>
      <c r="I11" s="59"/>
      <c r="J11" s="60"/>
      <c r="K11" s="59"/>
      <c r="L11" s="60"/>
      <c r="M11" s="59"/>
      <c r="N11" s="60"/>
    </row>
    <row r="12" spans="1:14" x14ac:dyDescent="0.2">
      <c r="A12" t="s">
        <v>52</v>
      </c>
      <c r="B12" s="66">
        <v>462890</v>
      </c>
      <c r="C12" s="53">
        <f t="shared" si="0"/>
        <v>439745.5</v>
      </c>
      <c r="D12" s="53">
        <f t="shared" si="1"/>
        <v>23144.5</v>
      </c>
      <c r="E12" s="59"/>
      <c r="F12" s="60"/>
      <c r="G12" s="59"/>
      <c r="H12" s="60"/>
      <c r="I12" s="59"/>
      <c r="J12" s="60"/>
      <c r="K12" s="59"/>
      <c r="L12" s="60"/>
      <c r="M12" s="59"/>
      <c r="N12" s="60"/>
    </row>
    <row r="13" spans="1:14" x14ac:dyDescent="0.2">
      <c r="A13" t="s">
        <v>53</v>
      </c>
      <c r="B13" s="66">
        <v>227448</v>
      </c>
      <c r="C13" s="53">
        <f t="shared" si="0"/>
        <v>216075.59999999998</v>
      </c>
      <c r="D13" s="53">
        <f t="shared" si="1"/>
        <v>11372.400000000001</v>
      </c>
      <c r="E13" s="67"/>
      <c r="F13" s="68"/>
      <c r="G13" s="67"/>
      <c r="H13" s="68"/>
      <c r="I13" s="67"/>
      <c r="J13" s="68"/>
      <c r="K13" s="67"/>
      <c r="L13" s="68"/>
      <c r="M13" s="59"/>
      <c r="N13" s="60"/>
    </row>
    <row r="14" spans="1:14" x14ac:dyDescent="0.2">
      <c r="A14" t="s">
        <v>54</v>
      </c>
      <c r="B14" s="66">
        <v>2752325</v>
      </c>
      <c r="C14" s="53">
        <f t="shared" si="0"/>
        <v>2614708.75</v>
      </c>
      <c r="D14" s="53">
        <f t="shared" si="1"/>
        <v>137616.25</v>
      </c>
      <c r="E14" s="67"/>
      <c r="F14" s="68"/>
      <c r="G14" s="67"/>
      <c r="H14" s="68"/>
      <c r="I14" s="67"/>
      <c r="J14" s="68"/>
      <c r="K14" s="67"/>
      <c r="L14" s="68"/>
      <c r="M14" s="59"/>
      <c r="N14" s="60"/>
    </row>
    <row r="15" spans="1:14" ht="15" x14ac:dyDescent="0.35">
      <c r="A15" t="s">
        <v>55</v>
      </c>
      <c r="B15" s="69">
        <v>1793750</v>
      </c>
      <c r="C15" s="70">
        <f t="shared" si="0"/>
        <v>1704062.5</v>
      </c>
      <c r="D15" s="71">
        <f t="shared" si="1"/>
        <v>89687.5</v>
      </c>
      <c r="E15" s="67"/>
      <c r="F15" s="68"/>
      <c r="G15" s="67"/>
      <c r="H15" s="68"/>
      <c r="I15" s="67"/>
      <c r="J15" s="68"/>
      <c r="K15" s="67"/>
      <c r="L15" s="68"/>
      <c r="M15" s="59"/>
      <c r="N15" s="60"/>
    </row>
    <row r="16" spans="1:14" x14ac:dyDescent="0.2">
      <c r="B16" s="53"/>
      <c r="E16" s="67"/>
      <c r="F16" s="68"/>
      <c r="G16" s="67"/>
      <c r="H16" s="68"/>
      <c r="I16" s="67"/>
      <c r="J16" s="68"/>
      <c r="K16" s="72">
        <f>+E76</f>
        <v>1211666.5447878861</v>
      </c>
      <c r="L16" s="68">
        <f>J17-K16</f>
        <v>1219470.8052121135</v>
      </c>
      <c r="M16" s="73">
        <f>+L16-D17</f>
        <v>902095.15521211352</v>
      </c>
      <c r="N16" s="74">
        <f>+L16-M16</f>
        <v>317375.65000000002</v>
      </c>
    </row>
    <row r="17" spans="1:15" x14ac:dyDescent="0.2">
      <c r="B17" s="54">
        <f>SUM(B10:B15)</f>
        <v>6347513</v>
      </c>
      <c r="C17" s="55">
        <f>SUM(C10:C15)</f>
        <v>6030137.3499999996</v>
      </c>
      <c r="D17" s="55">
        <f>SUM(D10:D15)</f>
        <v>317375.65000000002</v>
      </c>
      <c r="E17" s="72">
        <v>857000</v>
      </c>
      <c r="F17" s="75">
        <f>+C17-E17</f>
        <v>5173137.3499999996</v>
      </c>
      <c r="G17" s="72">
        <v>1314000</v>
      </c>
      <c r="H17" s="75">
        <f>+F17-G17</f>
        <v>3859137.3499999996</v>
      </c>
      <c r="I17" s="72">
        <v>1428000</v>
      </c>
      <c r="J17" s="75">
        <f>+H17-I17</f>
        <v>2431137.3499999996</v>
      </c>
      <c r="K17" s="76">
        <v>1211666.5447878861</v>
      </c>
      <c r="L17" s="75">
        <f>+J17-K17</f>
        <v>1219470.8052121135</v>
      </c>
      <c r="M17" s="77">
        <v>902095.15521211352</v>
      </c>
      <c r="N17" s="78">
        <f>+L17-M17</f>
        <v>317375.65000000002</v>
      </c>
      <c r="O17" s="55"/>
    </row>
    <row r="18" spans="1:15" x14ac:dyDescent="0.2">
      <c r="B18" s="53"/>
      <c r="E18" s="67"/>
      <c r="F18" s="79">
        <f>+F17/$B17</f>
        <v>0.81498649155976521</v>
      </c>
      <c r="G18" s="67"/>
      <c r="H18" s="79">
        <f>+H17/$B17</f>
        <v>0.60797628141919513</v>
      </c>
      <c r="I18" s="67"/>
      <c r="J18" s="79">
        <f>+J17/$B17</f>
        <v>0.38300628135775378</v>
      </c>
      <c r="K18" s="67"/>
      <c r="L18" s="79">
        <f>+L17/$B17</f>
        <v>0.19211789014250361</v>
      </c>
      <c r="M18" s="80"/>
      <c r="N18" s="79">
        <f>+N17/$B17</f>
        <v>0.05</v>
      </c>
    </row>
    <row r="19" spans="1:15" x14ac:dyDescent="0.2">
      <c r="B19" s="53" t="s">
        <v>56</v>
      </c>
      <c r="E19" s="81">
        <f>+C42*E4</f>
        <v>3551640</v>
      </c>
      <c r="F19" s="82">
        <v>0.95</v>
      </c>
      <c r="G19" s="81">
        <f>+E20</f>
        <v>2721390</v>
      </c>
      <c r="H19" s="83">
        <v>0.8</v>
      </c>
      <c r="I19" s="81">
        <f>+G20</f>
        <v>1572878</v>
      </c>
      <c r="J19" s="83">
        <v>0.6</v>
      </c>
      <c r="K19" s="81">
        <f>+I20</f>
        <v>1506022.398974414</v>
      </c>
      <c r="L19" s="83">
        <v>0.38</v>
      </c>
      <c r="M19" s="81">
        <f>+K20</f>
        <v>1126904.1124999998</v>
      </c>
      <c r="N19" s="82">
        <v>0.18</v>
      </c>
    </row>
    <row r="20" spans="1:15" ht="13.5" thickBot="1" x14ac:dyDescent="0.25">
      <c r="B20" s="53" t="s">
        <v>57</v>
      </c>
      <c r="E20" s="84">
        <f>+F42*E4</f>
        <v>2721390</v>
      </c>
      <c r="F20" s="85">
        <v>0.8</v>
      </c>
      <c r="G20" s="84">
        <f>+I42*G4</f>
        <v>1572878</v>
      </c>
      <c r="H20" s="86">
        <v>0.6</v>
      </c>
      <c r="I20" s="84">
        <f>+K42*I4</f>
        <v>1506022.398974414</v>
      </c>
      <c r="J20" s="86">
        <v>0.38</v>
      </c>
      <c r="K20" s="87">
        <f>+L42*K4</f>
        <v>1126904.1124999998</v>
      </c>
      <c r="L20" s="86">
        <v>0.18</v>
      </c>
      <c r="M20" s="84">
        <f>+M42*M4</f>
        <v>1011612.34375</v>
      </c>
      <c r="N20" s="85">
        <v>0.05</v>
      </c>
    </row>
    <row r="21" spans="1:15" x14ac:dyDescent="0.2">
      <c r="B21" s="53"/>
      <c r="E21" s="53"/>
      <c r="F21" s="40"/>
      <c r="G21" s="40"/>
      <c r="H21" s="40"/>
      <c r="I21" s="40"/>
      <c r="J21" s="40"/>
      <c r="K21" s="40"/>
      <c r="L21" s="40"/>
    </row>
    <row r="22" spans="1:15" x14ac:dyDescent="0.2">
      <c r="B22" s="53"/>
      <c r="E22" s="53"/>
      <c r="F22" s="40"/>
      <c r="G22" s="40"/>
      <c r="H22" s="40"/>
      <c r="I22" s="40"/>
      <c r="J22" s="40"/>
      <c r="K22" s="40"/>
      <c r="L22" s="40"/>
    </row>
    <row r="23" spans="1:15" x14ac:dyDescent="0.2">
      <c r="B23" s="52" t="s">
        <v>26</v>
      </c>
      <c r="C23" s="65">
        <v>0.95</v>
      </c>
      <c r="D23" s="65">
        <v>0.9</v>
      </c>
      <c r="E23" s="65">
        <v>0.85</v>
      </c>
      <c r="F23" s="65">
        <v>0.8</v>
      </c>
      <c r="G23" s="88">
        <v>0.75</v>
      </c>
      <c r="H23" s="88">
        <v>0.7</v>
      </c>
      <c r="I23" s="88">
        <v>0.6</v>
      </c>
      <c r="J23" s="89">
        <f>750000/1750000</f>
        <v>0.42857142857142855</v>
      </c>
      <c r="K23" s="88">
        <f>+J18</f>
        <v>0.38300628135775378</v>
      </c>
      <c r="L23" s="88">
        <v>0.18</v>
      </c>
      <c r="M23" s="65">
        <v>0.05</v>
      </c>
    </row>
    <row r="24" spans="1:15" x14ac:dyDescent="0.2">
      <c r="B24" s="52"/>
      <c r="E24" s="53"/>
      <c r="F24" s="53"/>
      <c r="G24" s="53"/>
      <c r="H24" s="53"/>
      <c r="I24" s="53"/>
      <c r="J24" s="53"/>
      <c r="K24" s="53"/>
      <c r="L24" s="53"/>
    </row>
    <row r="25" spans="1:15" x14ac:dyDescent="0.2">
      <c r="A25" t="s">
        <v>50</v>
      </c>
      <c r="B25" s="53">
        <f t="shared" ref="B25:B30" si="2">+B10</f>
        <v>798065</v>
      </c>
      <c r="C25" s="53">
        <f t="shared" ref="C25:M25" si="3">+$B25*C$23</f>
        <v>758161.75</v>
      </c>
      <c r="D25" s="53">
        <f t="shared" si="3"/>
        <v>718258.5</v>
      </c>
      <c r="E25" s="53">
        <f t="shared" si="3"/>
        <v>678355.25</v>
      </c>
      <c r="F25" s="53">
        <f t="shared" si="3"/>
        <v>638452</v>
      </c>
      <c r="G25" s="53">
        <f t="shared" si="3"/>
        <v>598548.75</v>
      </c>
      <c r="H25" s="53">
        <f t="shared" si="3"/>
        <v>558645.5</v>
      </c>
      <c r="I25" s="53">
        <f t="shared" si="3"/>
        <v>478839</v>
      </c>
      <c r="J25" s="53">
        <f t="shared" si="3"/>
        <v>342027.8571428571</v>
      </c>
      <c r="K25" s="53">
        <f t="shared" si="3"/>
        <v>305663.90793177579</v>
      </c>
      <c r="L25" s="53">
        <f t="shared" si="3"/>
        <v>143651.69999999998</v>
      </c>
      <c r="M25" s="53">
        <f t="shared" si="3"/>
        <v>39903.25</v>
      </c>
    </row>
    <row r="26" spans="1:15" x14ac:dyDescent="0.2">
      <c r="A26" t="s">
        <v>51</v>
      </c>
      <c r="B26" s="53">
        <f t="shared" si="2"/>
        <v>313035</v>
      </c>
      <c r="C26" s="53">
        <f>+B26*C$8</f>
        <v>297383.25</v>
      </c>
      <c r="D26" s="53">
        <f t="shared" ref="D26:M30" si="4">+$B26*D$23</f>
        <v>281731.5</v>
      </c>
      <c r="E26" s="53">
        <f t="shared" si="4"/>
        <v>266079.75</v>
      </c>
      <c r="F26" s="53">
        <f t="shared" si="4"/>
        <v>250428</v>
      </c>
      <c r="G26" s="53">
        <f t="shared" si="4"/>
        <v>234776.25</v>
      </c>
      <c r="H26" s="53">
        <f t="shared" si="4"/>
        <v>219124.5</v>
      </c>
      <c r="I26" s="53">
        <f t="shared" si="4"/>
        <v>187821</v>
      </c>
      <c r="J26" s="53">
        <f t="shared" si="4"/>
        <v>134157.85714285713</v>
      </c>
      <c r="K26" s="53">
        <f t="shared" si="4"/>
        <v>119894.37128482445</v>
      </c>
      <c r="L26" s="53">
        <f t="shared" si="4"/>
        <v>56346.299999999996</v>
      </c>
      <c r="M26" s="53">
        <f t="shared" si="4"/>
        <v>15651.75</v>
      </c>
    </row>
    <row r="27" spans="1:15" x14ac:dyDescent="0.2">
      <c r="A27" t="s">
        <v>52</v>
      </c>
      <c r="B27" s="53">
        <f t="shared" si="2"/>
        <v>462890</v>
      </c>
      <c r="C27" s="53">
        <f>+B27*C$8</f>
        <v>439745.5</v>
      </c>
      <c r="D27" s="53">
        <f t="shared" si="4"/>
        <v>416601</v>
      </c>
      <c r="E27" s="53">
        <f t="shared" si="4"/>
        <v>393456.5</v>
      </c>
      <c r="F27" s="53">
        <f t="shared" si="4"/>
        <v>370312</v>
      </c>
      <c r="G27" s="53">
        <f t="shared" si="4"/>
        <v>347167.5</v>
      </c>
      <c r="H27" s="53">
        <f t="shared" si="4"/>
        <v>324023</v>
      </c>
      <c r="I27" s="53">
        <f t="shared" si="4"/>
        <v>277734</v>
      </c>
      <c r="J27" s="53">
        <f t="shared" si="4"/>
        <v>198381.42857142855</v>
      </c>
      <c r="K27" s="53">
        <f t="shared" si="4"/>
        <v>177289.77757769063</v>
      </c>
      <c r="L27" s="53">
        <f t="shared" si="4"/>
        <v>83320.2</v>
      </c>
      <c r="M27" s="53">
        <f t="shared" si="4"/>
        <v>23144.5</v>
      </c>
    </row>
    <row r="28" spans="1:15" x14ac:dyDescent="0.2">
      <c r="A28" t="s">
        <v>53</v>
      </c>
      <c r="B28" s="53">
        <f t="shared" si="2"/>
        <v>227448</v>
      </c>
      <c r="C28" s="53">
        <f>+B28*C$8</f>
        <v>216075.59999999998</v>
      </c>
      <c r="D28" s="53">
        <f t="shared" si="4"/>
        <v>204703.2</v>
      </c>
      <c r="E28" s="53">
        <f t="shared" si="4"/>
        <v>193330.8</v>
      </c>
      <c r="F28" s="53">
        <f t="shared" si="4"/>
        <v>181958.40000000002</v>
      </c>
      <c r="G28" s="53">
        <f t="shared" si="4"/>
        <v>170586</v>
      </c>
      <c r="H28" s="53">
        <f t="shared" si="4"/>
        <v>159213.59999999998</v>
      </c>
      <c r="I28" s="53">
        <f t="shared" si="4"/>
        <v>136468.79999999999</v>
      </c>
      <c r="J28" s="53">
        <f t="shared" si="4"/>
        <v>97477.714285714275</v>
      </c>
      <c r="K28" s="53">
        <f t="shared" si="4"/>
        <v>87114.012682258384</v>
      </c>
      <c r="L28" s="53">
        <f t="shared" si="4"/>
        <v>40940.639999999999</v>
      </c>
      <c r="M28" s="53">
        <f t="shared" si="4"/>
        <v>11372.400000000001</v>
      </c>
    </row>
    <row r="29" spans="1:15" x14ac:dyDescent="0.2">
      <c r="A29" t="s">
        <v>54</v>
      </c>
      <c r="B29" s="53">
        <f t="shared" si="2"/>
        <v>2752325</v>
      </c>
      <c r="C29" s="53">
        <f>+B29*C$8</f>
        <v>2614708.75</v>
      </c>
      <c r="D29" s="53">
        <f t="shared" si="4"/>
        <v>2477092.5</v>
      </c>
      <c r="E29" s="53">
        <f t="shared" si="4"/>
        <v>2339476.25</v>
      </c>
      <c r="F29" s="53">
        <f t="shared" si="4"/>
        <v>2201860</v>
      </c>
      <c r="G29" s="53">
        <f t="shared" si="4"/>
        <v>2064243.75</v>
      </c>
      <c r="H29" s="53">
        <f t="shared" si="4"/>
        <v>1926627.4999999998</v>
      </c>
      <c r="I29" s="53">
        <f t="shared" si="4"/>
        <v>1651395</v>
      </c>
      <c r="J29" s="53">
        <f t="shared" si="4"/>
        <v>1179567.857142857</v>
      </c>
      <c r="K29" s="53">
        <f t="shared" si="4"/>
        <v>1054157.7633379796</v>
      </c>
      <c r="L29" s="53">
        <f t="shared" si="4"/>
        <v>495418.5</v>
      </c>
      <c r="M29" s="53">
        <f t="shared" si="4"/>
        <v>137616.25</v>
      </c>
    </row>
    <row r="30" spans="1:15" x14ac:dyDescent="0.2">
      <c r="A30" t="s">
        <v>55</v>
      </c>
      <c r="B30" s="53">
        <f t="shared" si="2"/>
        <v>1793750</v>
      </c>
      <c r="C30" s="70">
        <f>+B30*C$8</f>
        <v>1704062.5</v>
      </c>
      <c r="D30" s="70">
        <f t="shared" si="4"/>
        <v>1614375</v>
      </c>
      <c r="E30" s="70">
        <f t="shared" si="4"/>
        <v>1524687.5</v>
      </c>
      <c r="F30" s="70">
        <f t="shared" si="4"/>
        <v>1435000</v>
      </c>
      <c r="G30" s="70">
        <f t="shared" si="4"/>
        <v>1345312.5</v>
      </c>
      <c r="H30" s="70">
        <f t="shared" si="4"/>
        <v>1255625</v>
      </c>
      <c r="I30" s="70">
        <f t="shared" si="4"/>
        <v>1076250</v>
      </c>
      <c r="J30" s="70">
        <f t="shared" si="4"/>
        <v>768750</v>
      </c>
      <c r="K30" s="70">
        <f t="shared" si="4"/>
        <v>687017.51718547079</v>
      </c>
      <c r="L30" s="70">
        <f t="shared" si="4"/>
        <v>322875</v>
      </c>
      <c r="M30" s="70">
        <f t="shared" si="4"/>
        <v>89687.5</v>
      </c>
    </row>
    <row r="31" spans="1:15" x14ac:dyDescent="0.2">
      <c r="B31" s="53"/>
    </row>
    <row r="32" spans="1:15" x14ac:dyDescent="0.2">
      <c r="B32" s="54">
        <f>SUM(B25:B31)</f>
        <v>6347513</v>
      </c>
      <c r="C32" s="55">
        <f t="shared" ref="C32:M32" si="5">SUM(C25:C30)</f>
        <v>6030137.3499999996</v>
      </c>
      <c r="D32" s="55">
        <f t="shared" si="5"/>
        <v>5712761.7000000002</v>
      </c>
      <c r="E32" s="55">
        <f t="shared" si="5"/>
        <v>5395386.0499999998</v>
      </c>
      <c r="F32" s="55">
        <f t="shared" si="5"/>
        <v>5078010.4000000004</v>
      </c>
      <c r="G32" s="55">
        <f t="shared" si="5"/>
        <v>4760634.75</v>
      </c>
      <c r="H32" s="55">
        <f t="shared" si="5"/>
        <v>4443259.0999999996</v>
      </c>
      <c r="I32" s="55">
        <f t="shared" si="5"/>
        <v>3808507.8</v>
      </c>
      <c r="J32" s="55">
        <f t="shared" si="5"/>
        <v>2720362.7142857141</v>
      </c>
      <c r="K32" s="55">
        <f t="shared" si="5"/>
        <v>2431137.3499999996</v>
      </c>
      <c r="L32" s="55">
        <f t="shared" si="5"/>
        <v>1142552.3399999999</v>
      </c>
      <c r="M32" s="55">
        <f t="shared" si="5"/>
        <v>317375.65000000002</v>
      </c>
    </row>
    <row r="33" spans="1:14" x14ac:dyDescent="0.2">
      <c r="B33" s="53"/>
      <c r="E33" s="53"/>
      <c r="F33" s="53"/>
      <c r="G33" s="54"/>
      <c r="H33" s="54"/>
      <c r="I33" s="54"/>
      <c r="J33" s="54"/>
      <c r="K33" s="54"/>
      <c r="L33" s="54"/>
      <c r="M33" s="54"/>
      <c r="N33" s="54"/>
    </row>
    <row r="34" spans="1:14" x14ac:dyDescent="0.2">
      <c r="B34" s="52" t="s">
        <v>58</v>
      </c>
      <c r="C34" s="90">
        <f t="shared" ref="C34:M34" si="6">+C23</f>
        <v>0.95</v>
      </c>
      <c r="D34" s="90">
        <f t="shared" si="6"/>
        <v>0.9</v>
      </c>
      <c r="E34" s="90">
        <f t="shared" si="6"/>
        <v>0.85</v>
      </c>
      <c r="F34" s="90">
        <f t="shared" si="6"/>
        <v>0.8</v>
      </c>
      <c r="G34" s="90">
        <f t="shared" si="6"/>
        <v>0.75</v>
      </c>
      <c r="H34" s="90">
        <f t="shared" si="6"/>
        <v>0.7</v>
      </c>
      <c r="I34" s="90">
        <f t="shared" si="6"/>
        <v>0.6</v>
      </c>
      <c r="J34" s="90">
        <f t="shared" si="6"/>
        <v>0.42857142857142855</v>
      </c>
      <c r="K34" s="90">
        <f t="shared" si="6"/>
        <v>0.38300628135775378</v>
      </c>
      <c r="L34" s="90">
        <f t="shared" si="6"/>
        <v>0.18</v>
      </c>
      <c r="M34" s="90">
        <f t="shared" si="6"/>
        <v>0.05</v>
      </c>
    </row>
    <row r="35" spans="1:14" x14ac:dyDescent="0.2">
      <c r="A35" t="s">
        <v>50</v>
      </c>
      <c r="B35" s="66">
        <f>20000*1.025</f>
        <v>20500</v>
      </c>
      <c r="C35" s="66">
        <f>25625</f>
        <v>25625</v>
      </c>
      <c r="D35" s="66">
        <f>20500</f>
        <v>20500</v>
      </c>
      <c r="E35" s="66">
        <f>20500</f>
        <v>20500</v>
      </c>
      <c r="F35" s="66">
        <f>20500</f>
        <v>20500</v>
      </c>
      <c r="G35" s="66">
        <f>15375</f>
        <v>15375</v>
      </c>
      <c r="H35" s="66">
        <f>10250</f>
        <v>10250</v>
      </c>
      <c r="I35" s="66">
        <f>10250</f>
        <v>10250</v>
      </c>
      <c r="J35" s="66">
        <f>10250</f>
        <v>10250</v>
      </c>
      <c r="K35" s="66">
        <f>10250</f>
        <v>10250</v>
      </c>
      <c r="L35" s="66">
        <f>10250</f>
        <v>10250</v>
      </c>
      <c r="M35" s="66">
        <f>10250</f>
        <v>10250</v>
      </c>
    </row>
    <row r="36" spans="1:14" x14ac:dyDescent="0.2">
      <c r="A36" t="s">
        <v>51</v>
      </c>
      <c r="B36" s="66">
        <f>4000*1.025</f>
        <v>4100</v>
      </c>
      <c r="C36" s="66">
        <f>4613</f>
        <v>4613</v>
      </c>
      <c r="D36" s="66">
        <f>4100</f>
        <v>4100</v>
      </c>
      <c r="E36" s="66">
        <f>4100</f>
        <v>4100</v>
      </c>
      <c r="F36" s="66">
        <v>3588</v>
      </c>
      <c r="G36" s="66">
        <v>3588</v>
      </c>
      <c r="H36" s="66">
        <v>3075</v>
      </c>
      <c r="I36" s="66">
        <v>2050</v>
      </c>
      <c r="J36" s="66">
        <v>2050</v>
      </c>
      <c r="K36" s="66">
        <v>2050</v>
      </c>
      <c r="L36" s="66">
        <v>2050</v>
      </c>
      <c r="M36" s="66">
        <v>2050</v>
      </c>
    </row>
    <row r="37" spans="1:14" x14ac:dyDescent="0.2">
      <c r="A37" t="s">
        <v>52</v>
      </c>
      <c r="B37" s="66">
        <f>18000*1.025</f>
        <v>18450</v>
      </c>
      <c r="C37" s="66">
        <v>16400</v>
      </c>
      <c r="D37" s="66">
        <v>13000</v>
      </c>
      <c r="E37" s="66">
        <v>13000</v>
      </c>
      <c r="F37" s="66">
        <v>10250</v>
      </c>
      <c r="G37" s="66">
        <v>10250</v>
      </c>
      <c r="H37" s="66">
        <v>5125</v>
      </c>
      <c r="I37" s="66">
        <v>5125</v>
      </c>
      <c r="J37" s="66">
        <v>5125</v>
      </c>
      <c r="K37" s="66">
        <v>5125</v>
      </c>
      <c r="L37" s="66">
        <v>5125</v>
      </c>
      <c r="M37" s="66">
        <v>5125</v>
      </c>
    </row>
    <row r="38" spans="1:14" x14ac:dyDescent="0.2">
      <c r="A38" t="s">
        <v>53</v>
      </c>
      <c r="B38" s="66">
        <f>10000*1.025</f>
        <v>10250</v>
      </c>
      <c r="C38" s="66">
        <v>10250</v>
      </c>
      <c r="D38" s="66">
        <v>8200</v>
      </c>
      <c r="E38" s="66">
        <v>5125</v>
      </c>
      <c r="F38" s="66">
        <v>5125</v>
      </c>
      <c r="G38" s="66">
        <v>3075</v>
      </c>
      <c r="H38" s="66">
        <v>2563</v>
      </c>
      <c r="I38" s="66">
        <v>2563</v>
      </c>
      <c r="J38" s="66">
        <v>2563</v>
      </c>
      <c r="K38" s="66">
        <v>2563</v>
      </c>
      <c r="L38" s="66">
        <v>2563</v>
      </c>
      <c r="M38" s="66">
        <v>2563</v>
      </c>
    </row>
    <row r="39" spans="1:14" x14ac:dyDescent="0.2">
      <c r="A39" t="s">
        <v>54</v>
      </c>
      <c r="B39" s="66">
        <f>40000*1.025</f>
        <v>41000</v>
      </c>
      <c r="C39" s="66">
        <v>41000</v>
      </c>
      <c r="D39" s="66">
        <v>35875</v>
      </c>
      <c r="E39" s="66">
        <v>35875</v>
      </c>
      <c r="F39" s="66">
        <v>30750</v>
      </c>
      <c r="G39" s="66">
        <v>30750</v>
      </c>
      <c r="H39" s="66">
        <v>20500</v>
      </c>
      <c r="I39" s="66">
        <v>10250</v>
      </c>
      <c r="J39" s="66">
        <v>10250</v>
      </c>
      <c r="K39" s="66">
        <v>10250</v>
      </c>
      <c r="L39" s="66">
        <v>10250</v>
      </c>
      <c r="M39" s="66">
        <v>10250</v>
      </c>
    </row>
    <row r="40" spans="1:14" x14ac:dyDescent="0.2">
      <c r="A40" t="s">
        <v>55</v>
      </c>
      <c r="B40" s="91">
        <f t="shared" ref="B40:I40" si="7">20000*1.025</f>
        <v>20500</v>
      </c>
      <c r="C40" s="91">
        <f t="shared" si="7"/>
        <v>20500</v>
      </c>
      <c r="D40" s="91">
        <f t="shared" si="7"/>
        <v>20500</v>
      </c>
      <c r="E40" s="91">
        <f t="shared" si="7"/>
        <v>20500</v>
      </c>
      <c r="F40" s="91">
        <f t="shared" si="7"/>
        <v>20500</v>
      </c>
      <c r="G40" s="91">
        <f t="shared" si="7"/>
        <v>20500</v>
      </c>
      <c r="H40" s="91">
        <f t="shared" si="7"/>
        <v>20500</v>
      </c>
      <c r="I40" s="91">
        <f t="shared" si="7"/>
        <v>20500</v>
      </c>
      <c r="J40" s="92">
        <f>0.0267*1750000*1.025*J34</f>
        <v>20525.624999999996</v>
      </c>
      <c r="K40" s="92">
        <f>0.0267*1750000*1.025*K34</f>
        <v>18343.367708852067</v>
      </c>
      <c r="L40" s="92">
        <f>0.0267*1750000*1.025*L34</f>
        <v>8620.7624999999989</v>
      </c>
      <c r="M40" s="92">
        <f>0.0267*1750000*1.025*M34</f>
        <v>2394.6562499999995</v>
      </c>
    </row>
    <row r="41" spans="1:14" x14ac:dyDescent="0.2">
      <c r="B41" s="53"/>
      <c r="D41" s="53"/>
      <c r="E41" s="53"/>
      <c r="F41" s="53"/>
      <c r="G41" s="53"/>
      <c r="H41" s="53"/>
      <c r="I41" s="53"/>
    </row>
    <row r="42" spans="1:14" x14ac:dyDescent="0.2">
      <c r="A42" s="52" t="s">
        <v>59</v>
      </c>
      <c r="B42" s="55">
        <f>SUM(B35:B41)</f>
        <v>114800</v>
      </c>
      <c r="C42" s="53">
        <f t="shared" ref="C42:M42" si="8">SUM(C35:C40)</f>
        <v>118388</v>
      </c>
      <c r="D42" s="53">
        <f t="shared" si="8"/>
        <v>102175</v>
      </c>
      <c r="E42" s="53">
        <f t="shared" si="8"/>
        <v>99100</v>
      </c>
      <c r="F42" s="53">
        <f t="shared" si="8"/>
        <v>90713</v>
      </c>
      <c r="G42" s="53">
        <f t="shared" si="8"/>
        <v>83538</v>
      </c>
      <c r="H42" s="53">
        <f t="shared" si="8"/>
        <v>62013</v>
      </c>
      <c r="I42" s="53">
        <f t="shared" si="8"/>
        <v>50738</v>
      </c>
      <c r="J42" s="53">
        <f t="shared" si="8"/>
        <v>50763.625</v>
      </c>
      <c r="K42" s="53">
        <f t="shared" si="8"/>
        <v>48581.367708852064</v>
      </c>
      <c r="L42" s="53">
        <f t="shared" si="8"/>
        <v>38858.762499999997</v>
      </c>
      <c r="M42" s="53">
        <f t="shared" si="8"/>
        <v>32632.65625</v>
      </c>
    </row>
    <row r="43" spans="1:14" x14ac:dyDescent="0.2">
      <c r="M43" s="55"/>
    </row>
    <row r="45" spans="1:14" ht="13.5" thickBot="1" x14ac:dyDescent="0.25">
      <c r="A45" t="s">
        <v>60</v>
      </c>
      <c r="I45" s="52" t="s">
        <v>61</v>
      </c>
      <c r="J45" s="52" t="s">
        <v>61</v>
      </c>
    </row>
    <row r="46" spans="1:14" x14ac:dyDescent="0.2">
      <c r="B46" s="56" t="s">
        <v>62</v>
      </c>
      <c r="C46" s="93" t="s">
        <v>63</v>
      </c>
      <c r="D46" s="58"/>
      <c r="E46" s="56" t="s">
        <v>58</v>
      </c>
      <c r="F46" s="94"/>
      <c r="G46" s="58"/>
      <c r="I46" s="52" t="s">
        <v>58</v>
      </c>
      <c r="J46" s="52" t="s">
        <v>63</v>
      </c>
    </row>
    <row r="47" spans="1:14" ht="13.5" thickBot="1" x14ac:dyDescent="0.25">
      <c r="A47" t="s">
        <v>64</v>
      </c>
      <c r="B47" s="95"/>
      <c r="C47" s="96">
        <f>+J17</f>
        <v>2431137.3499999996</v>
      </c>
      <c r="D47" s="97">
        <f>+J18</f>
        <v>0.38300628135775378</v>
      </c>
      <c r="E47" s="98"/>
      <c r="F47" s="96">
        <f>+J17</f>
        <v>2431137.3499999996</v>
      </c>
      <c r="G47" s="99">
        <f>+F47/B17</f>
        <v>0.38300628135775378</v>
      </c>
      <c r="J47" s="100">
        <f>1750000*1.025*D47</f>
        <v>687017.51718547079</v>
      </c>
      <c r="K47" s="101">
        <f>+J18</f>
        <v>0.38300628135775378</v>
      </c>
    </row>
    <row r="48" spans="1:14" x14ac:dyDescent="0.2">
      <c r="A48" s="52">
        <v>1</v>
      </c>
      <c r="B48" s="67">
        <f t="shared" ref="B48:B75" si="9">+K$17/28</f>
        <v>43273.805170995933</v>
      </c>
      <c r="C48" s="39">
        <f t="shared" ref="C48:C75" si="10">+C47-B48</f>
        <v>2387863.5448290035</v>
      </c>
      <c r="D48" s="102">
        <f>+C48/$B$17</f>
        <v>0.37618883881435194</v>
      </c>
      <c r="E48" s="80">
        <f t="shared" ref="E48:E75" si="11">SUM(K$35:K$39)+I48</f>
        <v>48581.367708852071</v>
      </c>
      <c r="F48" s="39">
        <f t="shared" ref="F48:F75" si="12">+F47-E48</f>
        <v>2382555.9822911476</v>
      </c>
      <c r="G48" s="102">
        <f t="shared" ref="G48:G75" si="13">+F48/$B$17</f>
        <v>0.37535267470758193</v>
      </c>
      <c r="I48" s="55">
        <f t="shared" ref="I48:I75" si="14">0.0267*J47</f>
        <v>18343.367708852071</v>
      </c>
      <c r="J48" s="55">
        <f t="shared" ref="J48:J75" si="15">+J47-I48</f>
        <v>668674.14947661874</v>
      </c>
      <c r="K48" s="101">
        <f t="shared" ref="K48:K75" si="16">+J48/(1750000*1.025)</f>
        <v>0.37278001364550178</v>
      </c>
    </row>
    <row r="49" spans="1:11" x14ac:dyDescent="0.2">
      <c r="A49" s="52">
        <v>2</v>
      </c>
      <c r="B49" s="67">
        <f t="shared" si="9"/>
        <v>43273.805170995933</v>
      </c>
      <c r="C49" s="39">
        <f t="shared" si="10"/>
        <v>2344589.7396580074</v>
      </c>
      <c r="D49" s="102">
        <f t="shared" ref="D49:D75" si="17">+C49/B$17</f>
        <v>0.36937139627095011</v>
      </c>
      <c r="E49" s="80">
        <f t="shared" si="11"/>
        <v>48091.599791025721</v>
      </c>
      <c r="F49" s="39">
        <f t="shared" si="12"/>
        <v>2334464.3825001218</v>
      </c>
      <c r="G49" s="102">
        <f t="shared" si="13"/>
        <v>0.36777622708297281</v>
      </c>
      <c r="I49" s="55">
        <f t="shared" si="14"/>
        <v>17853.599791025721</v>
      </c>
      <c r="J49" s="55">
        <f t="shared" si="15"/>
        <v>650820.549685593</v>
      </c>
      <c r="K49" s="101">
        <f t="shared" si="16"/>
        <v>0.36282678728116685</v>
      </c>
    </row>
    <row r="50" spans="1:11" x14ac:dyDescent="0.2">
      <c r="A50" s="52">
        <v>3</v>
      </c>
      <c r="B50" s="67">
        <f t="shared" si="9"/>
        <v>43273.805170995933</v>
      </c>
      <c r="C50" s="39">
        <f t="shared" si="10"/>
        <v>2301315.9344870113</v>
      </c>
      <c r="D50" s="102">
        <f t="shared" si="17"/>
        <v>0.36255395372754828</v>
      </c>
      <c r="E50" s="80">
        <f t="shared" si="11"/>
        <v>47614.908676605337</v>
      </c>
      <c r="F50" s="39">
        <f t="shared" si="12"/>
        <v>2286849.4738235166</v>
      </c>
      <c r="G50" s="102">
        <f t="shared" si="13"/>
        <v>0.3602748783379438</v>
      </c>
      <c r="I50" s="55">
        <f t="shared" si="14"/>
        <v>17376.908676605333</v>
      </c>
      <c r="J50" s="55">
        <f t="shared" si="15"/>
        <v>633443.64100898767</v>
      </c>
      <c r="K50" s="101">
        <f t="shared" si="16"/>
        <v>0.35313931206075971</v>
      </c>
    </row>
    <row r="51" spans="1:11" x14ac:dyDescent="0.2">
      <c r="A51" s="52">
        <v>4</v>
      </c>
      <c r="B51" s="67">
        <f t="shared" si="9"/>
        <v>43273.805170995933</v>
      </c>
      <c r="C51" s="39">
        <f t="shared" si="10"/>
        <v>2258042.1293160152</v>
      </c>
      <c r="D51" s="102">
        <f t="shared" si="17"/>
        <v>0.35573651118414645</v>
      </c>
      <c r="E51" s="80">
        <f t="shared" si="11"/>
        <v>47150.945214939973</v>
      </c>
      <c r="F51" s="39">
        <f t="shared" si="12"/>
        <v>2239698.5286085769</v>
      </c>
      <c r="G51" s="102">
        <f t="shared" si="13"/>
        <v>0.35284662333241018</v>
      </c>
      <c r="I51" s="55">
        <f t="shared" si="14"/>
        <v>16912.945214939973</v>
      </c>
      <c r="J51" s="55">
        <f t="shared" si="15"/>
        <v>616530.69579404767</v>
      </c>
      <c r="K51" s="101">
        <f t="shared" si="16"/>
        <v>0.34371049242873741</v>
      </c>
    </row>
    <row r="52" spans="1:11" x14ac:dyDescent="0.2">
      <c r="A52" s="52">
        <v>5</v>
      </c>
      <c r="B52" s="67">
        <f t="shared" si="9"/>
        <v>43273.805170995933</v>
      </c>
      <c r="C52" s="39">
        <f t="shared" si="10"/>
        <v>2214768.3241450191</v>
      </c>
      <c r="D52" s="102">
        <f t="shared" si="17"/>
        <v>0.34891906864074468</v>
      </c>
      <c r="E52" s="80">
        <f t="shared" si="11"/>
        <v>46699.369577701073</v>
      </c>
      <c r="F52" s="39">
        <f t="shared" si="12"/>
        <v>2192999.1590308757</v>
      </c>
      <c r="G52" s="102">
        <f t="shared" si="13"/>
        <v>0.34548951046352733</v>
      </c>
      <c r="I52" s="55">
        <f t="shared" si="14"/>
        <v>16461.369577701073</v>
      </c>
      <c r="J52" s="55">
        <f t="shared" si="15"/>
        <v>600069.32621634658</v>
      </c>
      <c r="K52" s="101">
        <f t="shared" si="16"/>
        <v>0.33453342228089011</v>
      </c>
    </row>
    <row r="53" spans="1:11" x14ac:dyDescent="0.2">
      <c r="A53" s="52">
        <v>6</v>
      </c>
      <c r="B53" s="67">
        <f t="shared" si="9"/>
        <v>43273.805170995933</v>
      </c>
      <c r="C53" s="39">
        <f t="shared" si="10"/>
        <v>2171494.5189740229</v>
      </c>
      <c r="D53" s="102">
        <f t="shared" si="17"/>
        <v>0.34210162609734285</v>
      </c>
      <c r="E53" s="80">
        <f t="shared" si="11"/>
        <v>46259.851009976453</v>
      </c>
      <c r="F53" s="39">
        <f t="shared" si="12"/>
        <v>2146739.3080208991</v>
      </c>
      <c r="G53" s="102">
        <f t="shared" si="13"/>
        <v>0.33820164023624671</v>
      </c>
      <c r="I53" s="55">
        <f t="shared" si="14"/>
        <v>16021.851009976455</v>
      </c>
      <c r="J53" s="55">
        <f t="shared" si="15"/>
        <v>584047.47520637012</v>
      </c>
      <c r="K53" s="101">
        <f t="shared" si="16"/>
        <v>0.32560137990599036</v>
      </c>
    </row>
    <row r="54" spans="1:11" x14ac:dyDescent="0.2">
      <c r="A54" s="52">
        <v>7</v>
      </c>
      <c r="B54" s="67">
        <f t="shared" si="9"/>
        <v>43273.805170995933</v>
      </c>
      <c r="C54" s="39">
        <f t="shared" si="10"/>
        <v>2128220.7138030268</v>
      </c>
      <c r="D54" s="102">
        <f t="shared" si="17"/>
        <v>0.33528418355394102</v>
      </c>
      <c r="E54" s="80">
        <f t="shared" si="11"/>
        <v>45832.067588010083</v>
      </c>
      <c r="F54" s="39">
        <f t="shared" si="12"/>
        <v>2100907.2404328892</v>
      </c>
      <c r="G54" s="102">
        <f t="shared" si="13"/>
        <v>0.33098116387203763</v>
      </c>
      <c r="I54" s="55">
        <f t="shared" si="14"/>
        <v>15594.067588010083</v>
      </c>
      <c r="J54" s="55">
        <f t="shared" si="15"/>
        <v>568453.40761836001</v>
      </c>
      <c r="K54" s="101">
        <f t="shared" si="16"/>
        <v>0.31690782306250037</v>
      </c>
    </row>
    <row r="55" spans="1:11" x14ac:dyDescent="0.2">
      <c r="A55" s="52">
        <v>8</v>
      </c>
      <c r="B55" s="67">
        <f t="shared" si="9"/>
        <v>43273.805170995933</v>
      </c>
      <c r="C55" s="39">
        <f t="shared" si="10"/>
        <v>2084946.9086320309</v>
      </c>
      <c r="D55" s="102">
        <f t="shared" si="17"/>
        <v>0.32846674101053924</v>
      </c>
      <c r="E55" s="80">
        <f t="shared" si="11"/>
        <v>45415.705983410211</v>
      </c>
      <c r="F55" s="39">
        <f t="shared" si="12"/>
        <v>2055491.5344494791</v>
      </c>
      <c r="G55" s="102">
        <f t="shared" si="13"/>
        <v>0.32382628195475599</v>
      </c>
      <c r="I55" s="55">
        <f t="shared" si="14"/>
        <v>15177.705983410213</v>
      </c>
      <c r="J55" s="55">
        <f t="shared" si="15"/>
        <v>553275.70163494977</v>
      </c>
      <c r="K55" s="101">
        <f t="shared" si="16"/>
        <v>0.30844638418673159</v>
      </c>
    </row>
    <row r="56" spans="1:11" x14ac:dyDescent="0.2">
      <c r="A56" s="52">
        <v>9</v>
      </c>
      <c r="B56" s="67">
        <f t="shared" si="9"/>
        <v>43273.805170995933</v>
      </c>
      <c r="C56" s="39">
        <f t="shared" si="10"/>
        <v>2041673.1034610351</v>
      </c>
      <c r="D56" s="102">
        <f t="shared" si="17"/>
        <v>0.32164929846713747</v>
      </c>
      <c r="E56" s="80">
        <f t="shared" si="11"/>
        <v>45010.461233653157</v>
      </c>
      <c r="F56" s="39">
        <f t="shared" si="12"/>
        <v>2010481.0732158259</v>
      </c>
      <c r="G56" s="102">
        <f t="shared" si="13"/>
        <v>0.31673524311266882</v>
      </c>
      <c r="I56" s="55">
        <f t="shared" si="14"/>
        <v>14772.461233653159</v>
      </c>
      <c r="J56" s="55">
        <f t="shared" si="15"/>
        <v>538503.24040129664</v>
      </c>
      <c r="K56" s="101">
        <f t="shared" si="16"/>
        <v>0.3002108657289459</v>
      </c>
    </row>
    <row r="57" spans="1:11" x14ac:dyDescent="0.2">
      <c r="A57" s="52">
        <v>10</v>
      </c>
      <c r="B57" s="67">
        <f t="shared" si="9"/>
        <v>43273.805170995933</v>
      </c>
      <c r="C57" s="39">
        <f t="shared" si="10"/>
        <v>1998399.2982900392</v>
      </c>
      <c r="D57" s="102">
        <f t="shared" si="17"/>
        <v>0.31483185592373569</v>
      </c>
      <c r="E57" s="80">
        <f t="shared" si="11"/>
        <v>44616.036518714624</v>
      </c>
      <c r="F57" s="39">
        <f t="shared" si="12"/>
        <v>1965865.0366971113</v>
      </c>
      <c r="G57" s="102">
        <f t="shared" si="13"/>
        <v>0.30970634273566849</v>
      </c>
      <c r="I57" s="55">
        <f t="shared" si="14"/>
        <v>14378.036518714622</v>
      </c>
      <c r="J57" s="55">
        <f t="shared" si="15"/>
        <v>524125.20388258202</v>
      </c>
      <c r="K57" s="101">
        <f t="shared" si="16"/>
        <v>0.29219523561398303</v>
      </c>
    </row>
    <row r="58" spans="1:11" x14ac:dyDescent="0.2">
      <c r="A58" s="52">
        <v>11</v>
      </c>
      <c r="B58" s="67">
        <f t="shared" si="9"/>
        <v>43273.805170995933</v>
      </c>
      <c r="C58" s="39">
        <f t="shared" si="10"/>
        <v>1955125.4931190433</v>
      </c>
      <c r="D58" s="102">
        <f t="shared" si="17"/>
        <v>0.30801441338033386</v>
      </c>
      <c r="E58" s="80">
        <f t="shared" si="11"/>
        <v>44232.142943664941</v>
      </c>
      <c r="F58" s="39">
        <f t="shared" si="12"/>
        <v>1921632.8937534464</v>
      </c>
      <c r="G58" s="102">
        <f t="shared" si="13"/>
        <v>0.30273792172673714</v>
      </c>
      <c r="I58" s="55">
        <f t="shared" si="14"/>
        <v>13994.142943664941</v>
      </c>
      <c r="J58" s="55">
        <f t="shared" si="15"/>
        <v>510131.0609389171</v>
      </c>
      <c r="K58" s="101">
        <f t="shared" si="16"/>
        <v>0.28439362282308972</v>
      </c>
    </row>
    <row r="59" spans="1:11" x14ac:dyDescent="0.2">
      <c r="A59" s="52">
        <v>12</v>
      </c>
      <c r="B59" s="67">
        <f t="shared" si="9"/>
        <v>43273.805170995933</v>
      </c>
      <c r="C59" s="39">
        <f t="shared" si="10"/>
        <v>1911851.6879480474</v>
      </c>
      <c r="D59" s="102">
        <f t="shared" si="17"/>
        <v>0.30119697083693209</v>
      </c>
      <c r="E59" s="80">
        <f t="shared" si="11"/>
        <v>43858.49932706909</v>
      </c>
      <c r="F59" s="39">
        <f t="shared" si="12"/>
        <v>1877774.3944263773</v>
      </c>
      <c r="G59" s="102">
        <f t="shared" si="13"/>
        <v>0.29582836528674733</v>
      </c>
      <c r="I59" s="55">
        <f t="shared" si="14"/>
        <v>13620.499327069087</v>
      </c>
      <c r="J59" s="55">
        <f t="shared" si="15"/>
        <v>496510.56161184801</v>
      </c>
      <c r="K59" s="101">
        <f t="shared" si="16"/>
        <v>0.27680031309371322</v>
      </c>
    </row>
    <row r="60" spans="1:11" x14ac:dyDescent="0.2">
      <c r="A60" s="52">
        <v>13</v>
      </c>
      <c r="B60" s="67">
        <f t="shared" si="9"/>
        <v>43273.805170995933</v>
      </c>
      <c r="C60" s="39">
        <f t="shared" si="10"/>
        <v>1868577.8827770515</v>
      </c>
      <c r="D60" s="102">
        <f t="shared" si="17"/>
        <v>0.29437952829353031</v>
      </c>
      <c r="E60" s="80">
        <f t="shared" si="11"/>
        <v>43494.831995036344</v>
      </c>
      <c r="F60" s="39">
        <f t="shared" si="12"/>
        <v>1834279.5624313408</v>
      </c>
      <c r="G60" s="102">
        <f t="shared" si="13"/>
        <v>0.28897610173170829</v>
      </c>
      <c r="I60" s="55">
        <f t="shared" si="14"/>
        <v>13256.831995036342</v>
      </c>
      <c r="J60" s="55">
        <f t="shared" si="15"/>
        <v>483253.72961681167</v>
      </c>
      <c r="K60" s="101">
        <f t="shared" si="16"/>
        <v>0.26940974473411106</v>
      </c>
    </row>
    <row r="61" spans="1:11" x14ac:dyDescent="0.2">
      <c r="A61" s="52">
        <v>14</v>
      </c>
      <c r="B61" s="67">
        <f t="shared" si="9"/>
        <v>43273.805170995933</v>
      </c>
      <c r="C61" s="39">
        <f t="shared" si="10"/>
        <v>1825304.0776060557</v>
      </c>
      <c r="D61" s="102">
        <f t="shared" si="17"/>
        <v>0.28756208575012854</v>
      </c>
      <c r="E61" s="80">
        <f t="shared" si="11"/>
        <v>43140.874580768868</v>
      </c>
      <c r="F61" s="39">
        <f t="shared" si="12"/>
        <v>1791138.6878505719</v>
      </c>
      <c r="G61" s="102">
        <f t="shared" si="13"/>
        <v>0.28217960134159187</v>
      </c>
      <c r="I61" s="55">
        <f t="shared" si="14"/>
        <v>12902.874580768872</v>
      </c>
      <c r="J61" s="55">
        <f t="shared" si="15"/>
        <v>470350.85503604281</v>
      </c>
      <c r="K61" s="101">
        <f t="shared" si="16"/>
        <v>0.26221650454971029</v>
      </c>
    </row>
    <row r="62" spans="1:11" x14ac:dyDescent="0.2">
      <c r="A62" s="52">
        <v>15</v>
      </c>
      <c r="B62" s="67">
        <f t="shared" si="9"/>
        <v>43273.805170995933</v>
      </c>
      <c r="C62" s="39">
        <f t="shared" si="10"/>
        <v>1782030.2724350598</v>
      </c>
      <c r="D62" s="102">
        <f t="shared" si="17"/>
        <v>0.28074464320672676</v>
      </c>
      <c r="E62" s="80">
        <f t="shared" si="11"/>
        <v>42796.367829462346</v>
      </c>
      <c r="F62" s="39">
        <f t="shared" si="12"/>
        <v>1748342.3200211097</v>
      </c>
      <c r="G62" s="102">
        <f t="shared" si="13"/>
        <v>0.2754373752398947</v>
      </c>
      <c r="I62" s="55">
        <f t="shared" si="14"/>
        <v>12558.367829462344</v>
      </c>
      <c r="J62" s="55">
        <f t="shared" si="15"/>
        <v>457792.48720658047</v>
      </c>
      <c r="K62" s="101">
        <f t="shared" si="16"/>
        <v>0.25521532387823304</v>
      </c>
    </row>
    <row r="63" spans="1:11" x14ac:dyDescent="0.2">
      <c r="A63" s="52">
        <v>16</v>
      </c>
      <c r="B63" s="67">
        <f t="shared" si="9"/>
        <v>43273.805170995933</v>
      </c>
      <c r="C63" s="39">
        <f t="shared" si="10"/>
        <v>1738756.4672640639</v>
      </c>
      <c r="D63" s="102">
        <f t="shared" si="17"/>
        <v>0.27392720066332499</v>
      </c>
      <c r="E63" s="80">
        <f t="shared" si="11"/>
        <v>42461.059408415698</v>
      </c>
      <c r="F63" s="39">
        <f t="shared" si="12"/>
        <v>1705881.2606126938</v>
      </c>
      <c r="G63" s="102">
        <f t="shared" si="13"/>
        <v>0.26874797430311587</v>
      </c>
      <c r="I63" s="55">
        <f t="shared" si="14"/>
        <v>12223.059408415698</v>
      </c>
      <c r="J63" s="55">
        <f t="shared" si="15"/>
        <v>445569.42779816478</v>
      </c>
      <c r="K63" s="101">
        <f t="shared" si="16"/>
        <v>0.24840107473068423</v>
      </c>
    </row>
    <row r="64" spans="1:11" x14ac:dyDescent="0.2">
      <c r="A64" s="52">
        <v>17</v>
      </c>
      <c r="B64" s="67">
        <f t="shared" si="9"/>
        <v>43273.805170995933</v>
      </c>
      <c r="C64" s="39">
        <f t="shared" si="10"/>
        <v>1695482.662093068</v>
      </c>
      <c r="D64" s="102">
        <f t="shared" si="17"/>
        <v>0.26710975811992321</v>
      </c>
      <c r="E64" s="80">
        <f t="shared" si="11"/>
        <v>42134.703722211001</v>
      </c>
      <c r="F64" s="39">
        <f t="shared" si="12"/>
        <v>1663746.5568904828</v>
      </c>
      <c r="G64" s="102">
        <f t="shared" si="13"/>
        <v>0.2621099880993521</v>
      </c>
      <c r="I64" s="55">
        <f t="shared" si="14"/>
        <v>11896.703722210999</v>
      </c>
      <c r="J64" s="55">
        <f t="shared" si="15"/>
        <v>433672.72407595377</v>
      </c>
      <c r="K64" s="101">
        <f t="shared" si="16"/>
        <v>0.24176876603537495</v>
      </c>
    </row>
    <row r="65" spans="1:11" x14ac:dyDescent="0.2">
      <c r="A65" s="52">
        <v>18</v>
      </c>
      <c r="B65" s="67">
        <f t="shared" si="9"/>
        <v>43273.805170995933</v>
      </c>
      <c r="C65" s="39">
        <f t="shared" si="10"/>
        <v>1652208.8569220721</v>
      </c>
      <c r="D65" s="102">
        <f t="shared" si="17"/>
        <v>0.26029231557652138</v>
      </c>
      <c r="E65" s="80">
        <f t="shared" si="11"/>
        <v>41817.061732827962</v>
      </c>
      <c r="F65" s="39">
        <f t="shared" si="12"/>
        <v>1621929.4951576549</v>
      </c>
      <c r="G65" s="102">
        <f t="shared" si="13"/>
        <v>0.25552204385523192</v>
      </c>
      <c r="I65" s="55">
        <f t="shared" si="14"/>
        <v>11579.061732827966</v>
      </c>
      <c r="J65" s="55">
        <f t="shared" si="15"/>
        <v>422093.66234312579</v>
      </c>
      <c r="K65" s="101">
        <f t="shared" si="16"/>
        <v>0.23531353998223042</v>
      </c>
    </row>
    <row r="66" spans="1:11" x14ac:dyDescent="0.2">
      <c r="A66" s="52">
        <v>19</v>
      </c>
      <c r="B66" s="67">
        <f t="shared" si="9"/>
        <v>43273.805170995933</v>
      </c>
      <c r="C66" s="39">
        <f t="shared" si="10"/>
        <v>1608935.0517510762</v>
      </c>
      <c r="D66" s="102">
        <f t="shared" si="17"/>
        <v>0.25347487303311961</v>
      </c>
      <c r="E66" s="80">
        <f t="shared" si="11"/>
        <v>41507.900784561461</v>
      </c>
      <c r="F66" s="39">
        <f t="shared" si="12"/>
        <v>1580421.5943730935</v>
      </c>
      <c r="G66" s="102">
        <f t="shared" si="13"/>
        <v>0.24898280545043286</v>
      </c>
      <c r="I66" s="55">
        <f t="shared" si="14"/>
        <v>11269.90078456146</v>
      </c>
      <c r="J66" s="55">
        <f t="shared" si="15"/>
        <v>410823.76155856432</v>
      </c>
      <c r="K66" s="101">
        <f t="shared" si="16"/>
        <v>0.22903066846470488</v>
      </c>
    </row>
    <row r="67" spans="1:11" x14ac:dyDescent="0.2">
      <c r="A67" s="52">
        <v>20</v>
      </c>
      <c r="B67" s="67">
        <f t="shared" si="9"/>
        <v>43273.805170995933</v>
      </c>
      <c r="C67" s="39">
        <f t="shared" si="10"/>
        <v>1565661.2465800804</v>
      </c>
      <c r="D67" s="102">
        <f t="shared" si="17"/>
        <v>0.24665743048971783</v>
      </c>
      <c r="E67" s="80">
        <f t="shared" si="11"/>
        <v>41206.994433613669</v>
      </c>
      <c r="F67" s="39">
        <f t="shared" si="12"/>
        <v>1539214.5999394797</v>
      </c>
      <c r="G67" s="102">
        <f t="shared" si="13"/>
        <v>0.24249097243904499</v>
      </c>
      <c r="I67" s="55">
        <f t="shared" si="14"/>
        <v>10968.994433613669</v>
      </c>
      <c r="J67" s="55">
        <f t="shared" si="15"/>
        <v>399854.76712495065</v>
      </c>
      <c r="K67" s="101">
        <f t="shared" si="16"/>
        <v>0.22291554961669727</v>
      </c>
    </row>
    <row r="68" spans="1:11" x14ac:dyDescent="0.2">
      <c r="A68" s="52">
        <v>21</v>
      </c>
      <c r="B68" s="67">
        <f t="shared" si="9"/>
        <v>43273.805170995933</v>
      </c>
      <c r="C68" s="39">
        <f t="shared" si="10"/>
        <v>1522387.4414090845</v>
      </c>
      <c r="D68" s="102">
        <f t="shared" si="17"/>
        <v>0.23983998794631606</v>
      </c>
      <c r="E68" s="80">
        <f t="shared" si="11"/>
        <v>40914.122282236181</v>
      </c>
      <c r="F68" s="39">
        <f t="shared" si="12"/>
        <v>1498300.4776572436</v>
      </c>
      <c r="G68" s="102">
        <f t="shared" si="13"/>
        <v>0.23604527909706424</v>
      </c>
      <c r="I68" s="55">
        <f t="shared" si="14"/>
        <v>10676.122282236183</v>
      </c>
      <c r="J68" s="55">
        <f t="shared" si="15"/>
        <v>389178.64484271448</v>
      </c>
      <c r="K68" s="101">
        <f t="shared" si="16"/>
        <v>0.21696370444193144</v>
      </c>
    </row>
    <row r="69" spans="1:11" x14ac:dyDescent="0.2">
      <c r="A69" s="52">
        <v>22</v>
      </c>
      <c r="B69" s="67">
        <f t="shared" si="9"/>
        <v>43273.805170995933</v>
      </c>
      <c r="C69" s="39">
        <f t="shared" si="10"/>
        <v>1479113.6362380886</v>
      </c>
      <c r="D69" s="102">
        <f t="shared" si="17"/>
        <v>0.23302254540291428</v>
      </c>
      <c r="E69" s="80">
        <f t="shared" si="11"/>
        <v>40629.069817300478</v>
      </c>
      <c r="F69" s="39">
        <f t="shared" si="12"/>
        <v>1457671.4078399432</v>
      </c>
      <c r="G69" s="102">
        <f t="shared" si="13"/>
        <v>0.22964449349531749</v>
      </c>
      <c r="I69" s="55">
        <f t="shared" si="14"/>
        <v>10391.069817300477</v>
      </c>
      <c r="J69" s="55">
        <f t="shared" si="15"/>
        <v>378787.575025414</v>
      </c>
      <c r="K69" s="101">
        <f t="shared" si="16"/>
        <v>0.21117077353333188</v>
      </c>
    </row>
    <row r="70" spans="1:11" x14ac:dyDescent="0.2">
      <c r="A70" s="52">
        <v>23</v>
      </c>
      <c r="B70" s="67">
        <f t="shared" si="9"/>
        <v>43273.805170995933</v>
      </c>
      <c r="C70" s="39">
        <f t="shared" si="10"/>
        <v>1435839.8310670927</v>
      </c>
      <c r="D70" s="102">
        <f t="shared" si="17"/>
        <v>0.22620510285951248</v>
      </c>
      <c r="E70" s="80">
        <f t="shared" si="11"/>
        <v>40351.628253178555</v>
      </c>
      <c r="F70" s="39">
        <f t="shared" si="12"/>
        <v>1417319.7795867645</v>
      </c>
      <c r="G70" s="102">
        <f t="shared" si="13"/>
        <v>0.22328741659714041</v>
      </c>
      <c r="I70" s="55">
        <f t="shared" si="14"/>
        <v>10113.628253178555</v>
      </c>
      <c r="J70" s="55">
        <f t="shared" si="15"/>
        <v>368673.94677223545</v>
      </c>
      <c r="K70" s="101">
        <f t="shared" si="16"/>
        <v>0.20553251387999191</v>
      </c>
    </row>
    <row r="71" spans="1:11" x14ac:dyDescent="0.2">
      <c r="A71" s="52">
        <v>24</v>
      </c>
      <c r="B71" s="67">
        <f t="shared" si="9"/>
        <v>43273.805170995933</v>
      </c>
      <c r="C71" s="39">
        <f t="shared" si="10"/>
        <v>1392566.0258960968</v>
      </c>
      <c r="D71" s="102">
        <f t="shared" si="17"/>
        <v>0.21938766031611071</v>
      </c>
      <c r="E71" s="80">
        <f t="shared" si="11"/>
        <v>40081.594378818685</v>
      </c>
      <c r="F71" s="39">
        <f t="shared" si="12"/>
        <v>1377238.1852079458</v>
      </c>
      <c r="G71" s="102">
        <f t="shared" si="13"/>
        <v>0.21697288138014775</v>
      </c>
      <c r="I71" s="55">
        <f t="shared" si="14"/>
        <v>9843.5943788186869</v>
      </c>
      <c r="J71" s="55">
        <f t="shared" si="15"/>
        <v>358830.35239341675</v>
      </c>
      <c r="K71" s="101">
        <f t="shared" si="16"/>
        <v>0.20004479575939613</v>
      </c>
    </row>
    <row r="72" spans="1:11" x14ac:dyDescent="0.2">
      <c r="A72" s="52">
        <v>25</v>
      </c>
      <c r="B72" s="67">
        <f t="shared" si="9"/>
        <v>43273.805170995933</v>
      </c>
      <c r="C72" s="39">
        <f t="shared" si="10"/>
        <v>1349292.220725101</v>
      </c>
      <c r="D72" s="102">
        <f t="shared" si="17"/>
        <v>0.21257021777270893</v>
      </c>
      <c r="E72" s="80">
        <f t="shared" si="11"/>
        <v>39818.770408904224</v>
      </c>
      <c r="F72" s="39">
        <f t="shared" si="12"/>
        <v>1337419.4147990416</v>
      </c>
      <c r="G72" s="102">
        <f t="shared" si="13"/>
        <v>0.21069975198145188</v>
      </c>
      <c r="I72" s="55">
        <f t="shared" si="14"/>
        <v>9580.7704089042272</v>
      </c>
      <c r="J72" s="55">
        <f t="shared" si="15"/>
        <v>349249.58198451251</v>
      </c>
      <c r="K72" s="101">
        <f t="shared" si="16"/>
        <v>0.19470359971262025</v>
      </c>
    </row>
    <row r="73" spans="1:11" x14ac:dyDescent="0.2">
      <c r="A73" s="52">
        <v>26</v>
      </c>
      <c r="B73" s="67">
        <f t="shared" si="9"/>
        <v>43273.805170995933</v>
      </c>
      <c r="C73" s="39">
        <f t="shared" si="10"/>
        <v>1306018.4155541051</v>
      </c>
      <c r="D73" s="102">
        <f t="shared" si="17"/>
        <v>0.20575277522930716</v>
      </c>
      <c r="E73" s="80">
        <f t="shared" si="11"/>
        <v>39562.963838986485</v>
      </c>
      <c r="F73" s="39">
        <f t="shared" si="12"/>
        <v>1297856.450960055</v>
      </c>
      <c r="G73" s="102">
        <f t="shared" si="13"/>
        <v>0.20446692286570425</v>
      </c>
      <c r="I73" s="55">
        <f t="shared" si="14"/>
        <v>9324.9638389864849</v>
      </c>
      <c r="J73" s="55">
        <f t="shared" si="15"/>
        <v>339924.61814552604</v>
      </c>
      <c r="K73" s="101">
        <f t="shared" si="16"/>
        <v>0.18950501360029329</v>
      </c>
    </row>
    <row r="74" spans="1:11" x14ac:dyDescent="0.2">
      <c r="A74" s="52">
        <v>27</v>
      </c>
      <c r="B74" s="67">
        <f t="shared" si="9"/>
        <v>43273.805170995933</v>
      </c>
      <c r="C74" s="39">
        <f t="shared" si="10"/>
        <v>1262744.6103831092</v>
      </c>
      <c r="D74" s="102">
        <f t="shared" si="17"/>
        <v>0.19893533268590535</v>
      </c>
      <c r="E74" s="80">
        <f t="shared" si="11"/>
        <v>39313.987304485549</v>
      </c>
      <c r="F74" s="39">
        <f t="shared" si="12"/>
        <v>1258542.4636555694</v>
      </c>
      <c r="G74" s="102">
        <f t="shared" si="13"/>
        <v>0.19827331801535017</v>
      </c>
      <c r="I74" s="55">
        <f t="shared" si="14"/>
        <v>9075.9873044855449</v>
      </c>
      <c r="J74" s="55">
        <f t="shared" si="15"/>
        <v>330848.63084104052</v>
      </c>
      <c r="K74" s="101">
        <f t="shared" si="16"/>
        <v>0.18444522973716546</v>
      </c>
    </row>
    <row r="75" spans="1:11" x14ac:dyDescent="0.2">
      <c r="A75" s="52">
        <v>28</v>
      </c>
      <c r="B75" s="67">
        <f t="shared" si="9"/>
        <v>43273.805170995933</v>
      </c>
      <c r="C75" s="39">
        <f t="shared" si="10"/>
        <v>1219470.8052121133</v>
      </c>
      <c r="D75" s="102">
        <f t="shared" si="17"/>
        <v>0.19211789014250358</v>
      </c>
      <c r="E75" s="80">
        <f t="shared" si="11"/>
        <v>39071.658443455781</v>
      </c>
      <c r="F75" s="39">
        <f t="shared" si="12"/>
        <v>1219470.8052121135</v>
      </c>
      <c r="G75" s="102">
        <f t="shared" si="13"/>
        <v>0.19211789014250361</v>
      </c>
      <c r="I75" s="55">
        <f t="shared" si="14"/>
        <v>8833.6584434557826</v>
      </c>
      <c r="J75" s="55">
        <f t="shared" si="15"/>
        <v>322014.97239758476</v>
      </c>
      <c r="K75" s="101">
        <f t="shared" si="16"/>
        <v>0.17952054210318316</v>
      </c>
    </row>
    <row r="76" spans="1:11" ht="13.5" thickBot="1" x14ac:dyDescent="0.25">
      <c r="B76" s="103">
        <f>SUM(B48:B75)</f>
        <v>1211666.5447878854</v>
      </c>
      <c r="C76" s="27"/>
      <c r="D76" s="104"/>
      <c r="E76" s="103">
        <f>SUM(E48:E75)</f>
        <v>1211666.5447878861</v>
      </c>
      <c r="F76" s="39"/>
      <c r="G76" s="60"/>
      <c r="I76" s="105">
        <f>SUM(I48:I75)</f>
        <v>365002.54478788597</v>
      </c>
      <c r="K76" s="52"/>
    </row>
    <row r="77" spans="1:11" ht="14.25" thickTop="1" thickBot="1" x14ac:dyDescent="0.25">
      <c r="B77" s="95"/>
      <c r="C77" s="106"/>
      <c r="D77" s="107"/>
      <c r="E77" s="98"/>
      <c r="F77" s="106"/>
      <c r="G77" s="108"/>
    </row>
    <row r="79" spans="1:11" x14ac:dyDescent="0.2">
      <c r="F79" s="55"/>
    </row>
  </sheetData>
  <phoneticPr fontId="14" type="noConversion"/>
  <pageMargins left="0.75" right="0.75" top="1" bottom="1" header="0.5" footer="0.5"/>
  <pageSetup scale="66" orientation="landscape" r:id="rId1"/>
  <headerFooter alignWithMargins="0"/>
  <rowBreaks count="1" manualBreakCount="1">
    <brk id="4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="75" zoomScaleNormal="75" workbookViewId="0">
      <selection activeCell="M33" activeCellId="1" sqref="M15:M21 M33:M39"/>
    </sheetView>
  </sheetViews>
  <sheetFormatPr defaultColWidth="9.140625" defaultRowHeight="15" x14ac:dyDescent="0.25"/>
  <cols>
    <col min="1" max="1" width="26.7109375" style="237" customWidth="1"/>
    <col min="2" max="3" width="18.7109375" style="237" customWidth="1"/>
    <col min="4" max="4" width="27.7109375" style="237" customWidth="1"/>
    <col min="5" max="5" width="15.7109375" style="237" customWidth="1"/>
    <col min="6" max="7" width="12.7109375" style="237" customWidth="1"/>
    <col min="8" max="8" width="17.7109375" style="237" customWidth="1"/>
    <col min="9" max="10" width="15.7109375" style="237" customWidth="1"/>
    <col min="11" max="13" width="18.7109375" style="138" customWidth="1"/>
    <col min="14" max="21" width="15.85546875" style="138" customWidth="1"/>
    <col min="22" max="16384" width="9.140625" style="138"/>
  </cols>
  <sheetData>
    <row r="1" spans="1:21" ht="18" x14ac:dyDescent="0.25">
      <c r="A1" s="302" t="s">
        <v>18</v>
      </c>
      <c r="B1" s="303"/>
      <c r="C1" s="303"/>
      <c r="D1" s="303"/>
      <c r="E1" s="303"/>
      <c r="F1" s="303"/>
      <c r="G1" s="303"/>
      <c r="H1" s="303"/>
      <c r="I1" s="303"/>
      <c r="J1" s="304"/>
      <c r="K1" s="302" t="s">
        <v>18</v>
      </c>
      <c r="L1" s="303"/>
      <c r="M1" s="303"/>
      <c r="N1" s="303"/>
      <c r="O1" s="303"/>
      <c r="P1" s="303"/>
      <c r="Q1" s="303"/>
      <c r="R1" s="303"/>
      <c r="S1" s="303"/>
      <c r="T1" s="303"/>
      <c r="U1" s="304"/>
    </row>
    <row r="2" spans="1:21" ht="18" x14ac:dyDescent="0.25">
      <c r="A2" s="305" t="s">
        <v>170</v>
      </c>
      <c r="B2" s="306"/>
      <c r="C2" s="306"/>
      <c r="D2" s="306"/>
      <c r="E2" s="306"/>
      <c r="F2" s="306"/>
      <c r="G2" s="306"/>
      <c r="H2" s="306"/>
      <c r="I2" s="306"/>
      <c r="J2" s="307"/>
      <c r="K2" s="305" t="s">
        <v>171</v>
      </c>
      <c r="L2" s="306"/>
      <c r="M2" s="306"/>
      <c r="N2" s="306"/>
      <c r="O2" s="306"/>
      <c r="P2" s="306"/>
      <c r="Q2" s="306"/>
      <c r="R2" s="306"/>
      <c r="S2" s="306"/>
      <c r="T2" s="306"/>
      <c r="U2" s="307"/>
    </row>
    <row r="3" spans="1:21" x14ac:dyDescent="0.25">
      <c r="A3" s="139"/>
      <c r="B3" s="140"/>
      <c r="C3"/>
      <c r="D3" s="308" t="s">
        <v>172</v>
      </c>
      <c r="E3" s="308"/>
      <c r="F3" s="308"/>
      <c r="G3"/>
      <c r="H3" s="140"/>
      <c r="I3" s="140"/>
      <c r="J3" s="141"/>
      <c r="K3" s="139"/>
      <c r="L3" s="140"/>
      <c r="M3"/>
      <c r="N3" s="308" t="s">
        <v>172</v>
      </c>
      <c r="O3" s="308"/>
      <c r="P3" s="308"/>
      <c r="Q3" s="308"/>
      <c r="R3"/>
      <c r="S3"/>
      <c r="T3" s="140"/>
      <c r="U3" s="141"/>
    </row>
    <row r="4" spans="1:21" x14ac:dyDescent="0.25">
      <c r="A4" s="142"/>
      <c r="B4" s="143"/>
      <c r="C4" s="143"/>
      <c r="D4" s="143"/>
      <c r="E4" s="143"/>
      <c r="F4" s="309" t="s">
        <v>157</v>
      </c>
      <c r="G4" s="309"/>
      <c r="H4" s="309"/>
      <c r="I4" s="309"/>
      <c r="J4" s="310"/>
      <c r="K4" s="144"/>
      <c r="L4" s="145"/>
      <c r="M4" s="145"/>
      <c r="N4" s="145"/>
      <c r="O4" s="145"/>
      <c r="P4" s="145"/>
      <c r="Q4" s="145"/>
      <c r="R4" s="145"/>
      <c r="S4" s="145"/>
      <c r="T4" s="145"/>
      <c r="U4" s="146"/>
    </row>
    <row r="5" spans="1:21" ht="15" customHeight="1" x14ac:dyDescent="0.25">
      <c r="A5" s="147" t="s">
        <v>68</v>
      </c>
      <c r="B5" s="311" t="s">
        <v>66</v>
      </c>
      <c r="C5" s="312"/>
      <c r="D5" s="148" t="s">
        <v>69</v>
      </c>
      <c r="E5" s="149"/>
      <c r="F5" s="148" t="s">
        <v>70</v>
      </c>
      <c r="G5" s="150"/>
      <c r="H5" s="151" t="s">
        <v>71</v>
      </c>
      <c r="I5" s="152" t="s">
        <v>85</v>
      </c>
      <c r="J5" s="152"/>
      <c r="K5" s="147" t="s">
        <v>68</v>
      </c>
      <c r="L5" s="313" t="s">
        <v>66</v>
      </c>
      <c r="M5" s="314"/>
      <c r="N5" s="148" t="s">
        <v>72</v>
      </c>
      <c r="O5" s="150"/>
      <c r="P5" s="315" t="s">
        <v>173</v>
      </c>
      <c r="Q5" s="316"/>
      <c r="R5" s="316"/>
      <c r="S5" s="316"/>
      <c r="T5" s="316"/>
      <c r="U5" s="317"/>
    </row>
    <row r="6" spans="1:21" x14ac:dyDescent="0.25">
      <c r="A6" s="153" t="s">
        <v>73</v>
      </c>
      <c r="B6" s="324" t="s">
        <v>74</v>
      </c>
      <c r="C6" s="325"/>
      <c r="D6" s="154" t="s">
        <v>75</v>
      </c>
      <c r="E6" s="155">
        <v>0.97515134255797598</v>
      </c>
      <c r="F6" s="156" t="s">
        <v>76</v>
      </c>
      <c r="G6" s="157"/>
      <c r="H6" s="158">
        <v>72</v>
      </c>
      <c r="I6" s="159">
        <v>31067</v>
      </c>
      <c r="J6" s="160"/>
      <c r="K6" s="153" t="s">
        <v>73</v>
      </c>
      <c r="L6" s="326" t="s">
        <v>74</v>
      </c>
      <c r="M6" s="327"/>
      <c r="N6" s="161">
        <v>50264</v>
      </c>
      <c r="O6" s="162"/>
      <c r="P6" s="318"/>
      <c r="Q6" s="319"/>
      <c r="R6" s="319"/>
      <c r="S6" s="319"/>
      <c r="T6" s="319"/>
      <c r="U6" s="320"/>
    </row>
    <row r="7" spans="1:21" x14ac:dyDescent="0.25">
      <c r="A7" s="153" t="s">
        <v>78</v>
      </c>
      <c r="B7" s="328" t="s">
        <v>79</v>
      </c>
      <c r="C7" s="327"/>
      <c r="D7" s="163" t="s">
        <v>80</v>
      </c>
      <c r="E7" s="164">
        <v>1237.5077797538299</v>
      </c>
      <c r="F7" s="156" t="s">
        <v>81</v>
      </c>
      <c r="G7" s="157"/>
      <c r="H7" s="165">
        <v>48.5</v>
      </c>
      <c r="I7" s="166">
        <v>31066</v>
      </c>
      <c r="J7" s="167"/>
      <c r="K7" s="168" t="s">
        <v>78</v>
      </c>
      <c r="L7" s="329" t="s">
        <v>79</v>
      </c>
      <c r="M7" s="330"/>
      <c r="N7" s="148"/>
      <c r="O7" s="150"/>
      <c r="P7" s="321"/>
      <c r="Q7" s="322"/>
      <c r="R7" s="322"/>
      <c r="S7" s="322"/>
      <c r="T7" s="322"/>
      <c r="U7" s="323"/>
    </row>
    <row r="8" spans="1:21" ht="15.75" x14ac:dyDescent="0.25">
      <c r="A8" s="153" t="s">
        <v>82</v>
      </c>
      <c r="B8" s="337" t="s">
        <v>65</v>
      </c>
      <c r="C8" s="338"/>
      <c r="D8" s="163" t="s">
        <v>83</v>
      </c>
      <c r="E8" s="164">
        <v>2425.5152483175066</v>
      </c>
      <c r="F8" s="156"/>
      <c r="G8" s="157"/>
      <c r="H8" s="152" t="s">
        <v>84</v>
      </c>
      <c r="I8" s="169" t="s">
        <v>85</v>
      </c>
      <c r="J8" s="152" t="s">
        <v>86</v>
      </c>
      <c r="K8" s="170"/>
      <c r="L8" s="171"/>
      <c r="M8" s="171"/>
      <c r="N8" s="171"/>
      <c r="O8" s="171"/>
      <c r="P8" s="171"/>
      <c r="Q8" s="171"/>
      <c r="R8" s="171"/>
      <c r="S8" s="171"/>
      <c r="T8" s="171"/>
      <c r="U8" s="172"/>
    </row>
    <row r="9" spans="1:21" ht="15.75" x14ac:dyDescent="0.25">
      <c r="A9" s="153" t="s">
        <v>87</v>
      </c>
      <c r="B9" s="337" t="s">
        <v>77</v>
      </c>
      <c r="C9" s="338"/>
      <c r="D9" s="163" t="s">
        <v>88</v>
      </c>
      <c r="E9" s="173">
        <v>50264</v>
      </c>
      <c r="F9" s="156" t="s">
        <v>89</v>
      </c>
      <c r="G9" s="157"/>
      <c r="H9" s="165">
        <v>60.4</v>
      </c>
      <c r="I9" s="174">
        <v>37644</v>
      </c>
      <c r="J9" s="175">
        <v>45037</v>
      </c>
      <c r="K9" s="339" t="s">
        <v>90</v>
      </c>
      <c r="L9" s="340"/>
      <c r="M9" s="340"/>
      <c r="N9" s="340"/>
      <c r="O9" s="340"/>
      <c r="P9" s="340"/>
      <c r="Q9" s="340"/>
      <c r="R9" s="340"/>
      <c r="S9" s="340"/>
      <c r="T9" s="340"/>
      <c r="U9" s="341"/>
    </row>
    <row r="10" spans="1:21" x14ac:dyDescent="0.25">
      <c r="A10" s="153" t="s">
        <v>91</v>
      </c>
      <c r="B10" s="328" t="s">
        <v>92</v>
      </c>
      <c r="C10" s="327"/>
      <c r="D10" s="163" t="s">
        <v>93</v>
      </c>
      <c r="E10" s="164">
        <v>0</v>
      </c>
      <c r="F10" s="176" t="s">
        <v>94</v>
      </c>
      <c r="G10" s="177"/>
      <c r="H10" s="178">
        <v>60</v>
      </c>
      <c r="I10" s="179">
        <v>41645</v>
      </c>
      <c r="J10" s="180">
        <v>44721</v>
      </c>
      <c r="K10" s="181"/>
      <c r="L10" s="182" t="s">
        <v>95</v>
      </c>
      <c r="M10" s="183"/>
      <c r="N10" s="182" t="s">
        <v>96</v>
      </c>
      <c r="O10" s="183"/>
      <c r="P10" s="182" t="s">
        <v>97</v>
      </c>
      <c r="Q10" s="183"/>
      <c r="R10" s="182" t="s">
        <v>98</v>
      </c>
      <c r="S10" s="183"/>
      <c r="T10" s="182" t="s">
        <v>99</v>
      </c>
      <c r="U10" s="184"/>
    </row>
    <row r="11" spans="1:21" ht="15" customHeight="1" x14ac:dyDescent="0.25">
      <c r="A11" s="342" t="s">
        <v>174</v>
      </c>
      <c r="B11" s="343"/>
      <c r="C11" s="344"/>
      <c r="D11" s="185" t="s">
        <v>100</v>
      </c>
      <c r="E11" s="186">
        <v>50264</v>
      </c>
      <c r="F11" s="148" t="s">
        <v>101</v>
      </c>
      <c r="G11" s="150"/>
      <c r="H11" s="151" t="s">
        <v>102</v>
      </c>
      <c r="I11" s="152" t="s">
        <v>103</v>
      </c>
      <c r="J11" s="152" t="s">
        <v>104</v>
      </c>
      <c r="K11" s="187" t="s">
        <v>105</v>
      </c>
      <c r="L11" s="151" t="s">
        <v>106</v>
      </c>
      <c r="M11" s="151" t="s">
        <v>38</v>
      </c>
      <c r="N11" s="151" t="s">
        <v>106</v>
      </c>
      <c r="O11" s="151" t="s">
        <v>38</v>
      </c>
      <c r="P11" s="151" t="s">
        <v>106</v>
      </c>
      <c r="Q11" s="151" t="s">
        <v>38</v>
      </c>
      <c r="R11" s="151" t="s">
        <v>106</v>
      </c>
      <c r="S11" s="151" t="s">
        <v>38</v>
      </c>
      <c r="T11" s="151" t="s">
        <v>106</v>
      </c>
      <c r="U11" s="151" t="s">
        <v>38</v>
      </c>
    </row>
    <row r="12" spans="1:21" x14ac:dyDescent="0.25">
      <c r="A12" s="345"/>
      <c r="B12" s="346"/>
      <c r="C12" s="347"/>
      <c r="D12" s="149" t="s">
        <v>107</v>
      </c>
      <c r="E12" s="188"/>
      <c r="F12" s="147" t="s">
        <v>108</v>
      </c>
      <c r="G12" s="147"/>
      <c r="H12" s="121">
        <v>3118314.4400726706</v>
      </c>
      <c r="I12" s="121">
        <v>161550.38104904848</v>
      </c>
      <c r="J12" s="121">
        <v>3279864.8211217192</v>
      </c>
      <c r="K12" s="153" t="s">
        <v>41</v>
      </c>
      <c r="L12" s="189">
        <v>941.99999999999955</v>
      </c>
      <c r="M12" s="190">
        <v>668865.45523105725</v>
      </c>
      <c r="N12" s="189">
        <v>1036.2000000000003</v>
      </c>
      <c r="O12" s="190">
        <v>723702.90066283452</v>
      </c>
      <c r="P12" s="189">
        <v>1130.4000000000001</v>
      </c>
      <c r="Q12" s="190">
        <v>778540.3460946118</v>
      </c>
      <c r="R12" s="189">
        <v>847.79999999999973</v>
      </c>
      <c r="S12" s="190">
        <v>614028.00979928032</v>
      </c>
      <c r="T12" s="189">
        <v>753.60000000000014</v>
      </c>
      <c r="U12" s="190">
        <v>559190.56436750281</v>
      </c>
    </row>
    <row r="13" spans="1:21" x14ac:dyDescent="0.25">
      <c r="A13" s="345"/>
      <c r="B13" s="346"/>
      <c r="C13" s="347"/>
      <c r="D13" s="191" t="s">
        <v>109</v>
      </c>
      <c r="E13" s="190">
        <v>49500</v>
      </c>
      <c r="F13" s="157" t="s">
        <v>110</v>
      </c>
      <c r="G13" s="153"/>
      <c r="H13" s="192">
        <v>2450743.7014877778</v>
      </c>
      <c r="I13" s="192">
        <v>66532.386836966252</v>
      </c>
      <c r="J13" s="192">
        <v>2517276.0883247438</v>
      </c>
      <c r="K13" s="153" t="s">
        <v>42</v>
      </c>
      <c r="L13" s="173">
        <v>723.00000000000023</v>
      </c>
      <c r="M13" s="164">
        <v>519674.91552547767</v>
      </c>
      <c r="N13" s="173">
        <v>795.30000000000064</v>
      </c>
      <c r="O13" s="164">
        <v>561969.36776572315</v>
      </c>
      <c r="P13" s="173">
        <v>867.60000000000048</v>
      </c>
      <c r="Q13" s="164">
        <v>604263.82000596845</v>
      </c>
      <c r="R13" s="173">
        <v>650.70000000000016</v>
      </c>
      <c r="S13" s="164">
        <v>477380.46328523208</v>
      </c>
      <c r="T13" s="173">
        <v>578.40000000000043</v>
      </c>
      <c r="U13" s="164">
        <v>435086.01104498666</v>
      </c>
    </row>
    <row r="14" spans="1:21" ht="15" customHeight="1" x14ac:dyDescent="0.25">
      <c r="A14" s="345"/>
      <c r="B14" s="346"/>
      <c r="C14" s="347"/>
      <c r="D14" s="193" t="s">
        <v>111</v>
      </c>
      <c r="E14" s="164">
        <v>-764</v>
      </c>
      <c r="F14" s="351" t="s">
        <v>175</v>
      </c>
      <c r="G14" s="343"/>
      <c r="H14" s="343"/>
      <c r="I14" s="343"/>
      <c r="J14" s="344"/>
      <c r="K14" s="153" t="s">
        <v>43</v>
      </c>
      <c r="L14" s="173">
        <v>523</v>
      </c>
      <c r="M14" s="164">
        <v>371160.00377537258</v>
      </c>
      <c r="N14" s="173">
        <v>575.29999999999995</v>
      </c>
      <c r="O14" s="164">
        <v>401887.21010553156</v>
      </c>
      <c r="P14" s="173">
        <v>627.59999999999991</v>
      </c>
      <c r="Q14" s="164">
        <v>432614.41643569036</v>
      </c>
      <c r="R14" s="173">
        <v>470.7</v>
      </c>
      <c r="S14" s="164">
        <v>340432.79744521377</v>
      </c>
      <c r="T14" s="173">
        <v>418.4</v>
      </c>
      <c r="U14" s="164">
        <v>309705.59111505485</v>
      </c>
    </row>
    <row r="15" spans="1:21" x14ac:dyDescent="0.25">
      <c r="A15" s="345"/>
      <c r="B15" s="346"/>
      <c r="C15" s="347"/>
      <c r="D15" s="193" t="s">
        <v>112</v>
      </c>
      <c r="E15" s="194">
        <v>-1.5199745344580615E-2</v>
      </c>
      <c r="F15" s="345"/>
      <c r="G15" s="346"/>
      <c r="H15" s="346"/>
      <c r="I15" s="346"/>
      <c r="J15" s="347"/>
      <c r="K15" s="153" t="s">
        <v>113</v>
      </c>
      <c r="L15" s="173">
        <v>244.99999999999997</v>
      </c>
      <c r="M15" s="164">
        <v>177540.12337822074</v>
      </c>
      <c r="N15" s="173">
        <v>269.5</v>
      </c>
      <c r="O15" s="164">
        <v>193589.72632166854</v>
      </c>
      <c r="P15" s="173">
        <v>293.99999999999989</v>
      </c>
      <c r="Q15" s="164">
        <v>209639.32926511628</v>
      </c>
      <c r="R15" s="173">
        <v>220.50000000000011</v>
      </c>
      <c r="S15" s="164">
        <v>161490.52043477292</v>
      </c>
      <c r="T15" s="173">
        <v>196</v>
      </c>
      <c r="U15" s="164">
        <v>145440.91749132509</v>
      </c>
    </row>
    <row r="16" spans="1:21" x14ac:dyDescent="0.25">
      <c r="A16" s="348"/>
      <c r="B16" s="349"/>
      <c r="C16" s="350"/>
      <c r="D16" s="195"/>
      <c r="E16" s="196"/>
      <c r="F16" s="348"/>
      <c r="G16" s="349"/>
      <c r="H16" s="349"/>
      <c r="I16" s="349"/>
      <c r="J16" s="350"/>
      <c r="K16" s="153" t="s">
        <v>114</v>
      </c>
      <c r="L16" s="173">
        <v>63.999999999999972</v>
      </c>
      <c r="M16" s="164">
        <v>90326.424057311116</v>
      </c>
      <c r="N16" s="173">
        <v>70.399999999999977</v>
      </c>
      <c r="O16" s="164">
        <v>94627.064906945714</v>
      </c>
      <c r="P16" s="173">
        <v>76.800000000000054</v>
      </c>
      <c r="Q16" s="164">
        <v>98927.705756580341</v>
      </c>
      <c r="R16" s="173">
        <v>57.599999999999987</v>
      </c>
      <c r="S16" s="164">
        <v>86025.783207676461</v>
      </c>
      <c r="T16" s="173">
        <v>51.200000000000031</v>
      </c>
      <c r="U16" s="164">
        <v>81725.142358041805</v>
      </c>
    </row>
    <row r="17" spans="1:21" x14ac:dyDescent="0.25">
      <c r="A17" s="197"/>
      <c r="B17" s="9"/>
      <c r="C17" s="9"/>
      <c r="D17" s="9"/>
      <c r="E17" s="198"/>
      <c r="F17" s="199"/>
      <c r="G17" s="9"/>
      <c r="H17" s="9"/>
      <c r="I17" s="9"/>
      <c r="J17" s="200"/>
      <c r="K17" s="153" t="s">
        <v>115</v>
      </c>
      <c r="L17" s="173">
        <v>3.9999999999999987</v>
      </c>
      <c r="M17" s="164">
        <v>67654.180614719051</v>
      </c>
      <c r="N17" s="173">
        <v>4.3999999999999959</v>
      </c>
      <c r="O17" s="164">
        <v>67951.814251410571</v>
      </c>
      <c r="P17" s="173">
        <v>4.8000000000000016</v>
      </c>
      <c r="Q17" s="164">
        <v>68249.447888102077</v>
      </c>
      <c r="R17" s="173">
        <v>3.6</v>
      </c>
      <c r="S17" s="164">
        <v>67356.546978027574</v>
      </c>
      <c r="T17" s="173">
        <v>3.199999999999998</v>
      </c>
      <c r="U17" s="164">
        <v>67058.913341336098</v>
      </c>
    </row>
    <row r="18" spans="1:21" ht="15.75" x14ac:dyDescent="0.25">
      <c r="A18" s="352" t="s">
        <v>116</v>
      </c>
      <c r="B18" s="353"/>
      <c r="C18" s="353"/>
      <c r="D18" s="353"/>
      <c r="E18" s="353"/>
      <c r="F18" s="353"/>
      <c r="G18" s="353"/>
      <c r="H18" s="353"/>
      <c r="I18" s="353"/>
      <c r="J18" s="354"/>
      <c r="K18" s="153" t="s">
        <v>117</v>
      </c>
      <c r="L18" s="173">
        <v>0</v>
      </c>
      <c r="M18" s="164">
        <v>63077.370737385114</v>
      </c>
      <c r="N18" s="173">
        <v>0</v>
      </c>
      <c r="O18" s="164">
        <v>63083.534099278579</v>
      </c>
      <c r="P18" s="173">
        <v>0</v>
      </c>
      <c r="Q18" s="164">
        <v>63089.697461172058</v>
      </c>
      <c r="R18" s="173">
        <v>0</v>
      </c>
      <c r="S18" s="164">
        <v>63071.207375491627</v>
      </c>
      <c r="T18" s="173">
        <v>0</v>
      </c>
      <c r="U18" s="164">
        <v>63065.044013598155</v>
      </c>
    </row>
    <row r="19" spans="1:21" x14ac:dyDescent="0.25">
      <c r="A19" s="152" t="s">
        <v>118</v>
      </c>
      <c r="B19" s="331" t="s">
        <v>119</v>
      </c>
      <c r="C19" s="332"/>
      <c r="D19" s="333"/>
      <c r="E19" s="152" t="s">
        <v>120</v>
      </c>
      <c r="F19" s="331" t="s">
        <v>121</v>
      </c>
      <c r="G19" s="334"/>
      <c r="H19" s="335"/>
      <c r="I19" s="335"/>
      <c r="J19" s="336"/>
      <c r="K19" s="153" t="s">
        <v>122</v>
      </c>
      <c r="L19" s="173">
        <v>0.99999999999999922</v>
      </c>
      <c r="M19" s="164">
        <v>62868.45780678359</v>
      </c>
      <c r="N19" s="173">
        <v>1.1000000000000001</v>
      </c>
      <c r="O19" s="164">
        <v>62931.485572149206</v>
      </c>
      <c r="P19" s="173">
        <v>1.1999999999999988</v>
      </c>
      <c r="Q19" s="164">
        <v>62994.513337514858</v>
      </c>
      <c r="R19" s="173">
        <v>0.8999999999999998</v>
      </c>
      <c r="S19" s="164">
        <v>62805.43004141796</v>
      </c>
      <c r="T19" s="173">
        <v>0.79999999999999949</v>
      </c>
      <c r="U19" s="164">
        <v>62742.402276052366</v>
      </c>
    </row>
    <row r="20" spans="1:21" x14ac:dyDescent="0.25">
      <c r="A20" s="201" t="s">
        <v>123</v>
      </c>
      <c r="B20" s="202" t="s">
        <v>124</v>
      </c>
      <c r="C20" s="203"/>
      <c r="D20" s="204"/>
      <c r="E20" s="164">
        <v>5000</v>
      </c>
      <c r="F20" s="205" t="s">
        <v>176</v>
      </c>
      <c r="G20" s="205"/>
      <c r="H20" s="205"/>
      <c r="I20" s="205"/>
      <c r="J20" s="206"/>
      <c r="K20" s="153" t="s">
        <v>125</v>
      </c>
      <c r="L20" s="173">
        <v>38</v>
      </c>
      <c r="M20" s="164">
        <v>74480.845369754548</v>
      </c>
      <c r="N20" s="173">
        <v>41.79999999999999</v>
      </c>
      <c r="O20" s="164">
        <v>76769.966007072202</v>
      </c>
      <c r="P20" s="173">
        <v>45.6</v>
      </c>
      <c r="Q20" s="164">
        <v>79059.086644389856</v>
      </c>
      <c r="R20" s="173">
        <v>34.200000000000003</v>
      </c>
      <c r="S20" s="164">
        <v>72191.724732436909</v>
      </c>
      <c r="T20" s="173">
        <v>30.399999999999991</v>
      </c>
      <c r="U20" s="164">
        <v>69902.604095119226</v>
      </c>
    </row>
    <row r="21" spans="1:21" x14ac:dyDescent="0.25">
      <c r="A21" s="207" t="s">
        <v>126</v>
      </c>
      <c r="B21" s="208" t="s">
        <v>159</v>
      </c>
      <c r="C21" s="209"/>
      <c r="D21" s="210"/>
      <c r="E21" s="164">
        <v>44500</v>
      </c>
      <c r="F21" s="205" t="s">
        <v>177</v>
      </c>
      <c r="G21" s="205"/>
      <c r="H21" s="205"/>
      <c r="I21" s="205"/>
      <c r="J21" s="206"/>
      <c r="K21" s="153" t="s">
        <v>127</v>
      </c>
      <c r="L21" s="173">
        <v>228</v>
      </c>
      <c r="M21" s="164">
        <v>131623.33662071856</v>
      </c>
      <c r="N21" s="173">
        <v>250.80000000000004</v>
      </c>
      <c r="O21" s="164">
        <v>146002.66660232918</v>
      </c>
      <c r="P21" s="173">
        <v>273.60000000000002</v>
      </c>
      <c r="Q21" s="164">
        <v>160381.99658393982</v>
      </c>
      <c r="R21" s="173">
        <v>205.2</v>
      </c>
      <c r="S21" s="164">
        <v>117244.00663910797</v>
      </c>
      <c r="T21" s="173">
        <v>182.40000000000003</v>
      </c>
      <c r="U21" s="164">
        <v>102864.67665749733</v>
      </c>
    </row>
    <row r="22" spans="1:21" x14ac:dyDescent="0.25">
      <c r="A22" s="207"/>
      <c r="B22" s="208"/>
      <c r="C22" s="209"/>
      <c r="D22" s="210"/>
      <c r="E22" s="164"/>
      <c r="F22" s="205"/>
      <c r="G22" s="205"/>
      <c r="H22" s="205"/>
      <c r="I22" s="205"/>
      <c r="J22" s="206"/>
      <c r="K22" s="153" t="s">
        <v>39</v>
      </c>
      <c r="L22" s="173">
        <v>510</v>
      </c>
      <c r="M22" s="164">
        <v>314509.93217438948</v>
      </c>
      <c r="N22" s="173">
        <v>560.99999999999989</v>
      </c>
      <c r="O22" s="164">
        <v>343926.20710540662</v>
      </c>
      <c r="P22" s="173">
        <v>612</v>
      </c>
      <c r="Q22" s="164">
        <v>373342.48203642375</v>
      </c>
      <c r="R22" s="173">
        <v>459</v>
      </c>
      <c r="S22" s="164">
        <v>285093.65724337235</v>
      </c>
      <c r="T22" s="173">
        <v>408</v>
      </c>
      <c r="U22" s="164">
        <v>255677.38231235524</v>
      </c>
    </row>
    <row r="23" spans="1:21" x14ac:dyDescent="0.25">
      <c r="A23" s="207"/>
      <c r="B23" s="208"/>
      <c r="C23" s="209"/>
      <c r="D23" s="210"/>
      <c r="E23" s="164"/>
      <c r="F23" s="205"/>
      <c r="G23" s="205"/>
      <c r="H23" s="205"/>
      <c r="I23" s="205"/>
      <c r="J23" s="206"/>
      <c r="K23" s="153" t="s">
        <v>40</v>
      </c>
      <c r="L23" s="173">
        <v>854</v>
      </c>
      <c r="M23" s="164">
        <v>576533.39478148066</v>
      </c>
      <c r="N23" s="173">
        <v>939.39999999999986</v>
      </c>
      <c r="O23" s="164">
        <v>626006.94888303801</v>
      </c>
      <c r="P23" s="173">
        <v>1024.7999999999997</v>
      </c>
      <c r="Q23" s="164">
        <v>675480.50298459502</v>
      </c>
      <c r="R23" s="173">
        <v>768.60000000000014</v>
      </c>
      <c r="S23" s="164">
        <v>527059.84067992365</v>
      </c>
      <c r="T23" s="173">
        <v>683.19999999999993</v>
      </c>
      <c r="U23" s="164">
        <v>477586.28657836659</v>
      </c>
    </row>
    <row r="24" spans="1:21" x14ac:dyDescent="0.25">
      <c r="A24" s="207"/>
      <c r="B24" s="208"/>
      <c r="C24" s="209"/>
      <c r="D24" s="210"/>
      <c r="E24" s="164"/>
      <c r="F24" s="205"/>
      <c r="G24" s="205"/>
      <c r="H24" s="205"/>
      <c r="I24" s="205"/>
      <c r="J24" s="206"/>
      <c r="K24" s="211" t="s">
        <v>128</v>
      </c>
      <c r="L24" s="212">
        <v>4132</v>
      </c>
      <c r="M24" s="212">
        <v>3118314.4400726706</v>
      </c>
      <c r="N24" s="212">
        <v>4545.2000000000016</v>
      </c>
      <c r="O24" s="212">
        <v>3362448.8922833875</v>
      </c>
      <c r="P24" s="212">
        <v>4958.3999999999996</v>
      </c>
      <c r="Q24" s="212">
        <v>3606583.3444941044</v>
      </c>
      <c r="R24" s="212">
        <v>3718.8</v>
      </c>
      <c r="S24" s="212">
        <v>2874179.9878619532</v>
      </c>
      <c r="T24" s="212">
        <v>3305.6000000000004</v>
      </c>
      <c r="U24" s="212">
        <v>2630045.5356512368</v>
      </c>
    </row>
    <row r="25" spans="1:21" x14ac:dyDescent="0.25">
      <c r="A25" s="207"/>
      <c r="B25" s="208"/>
      <c r="C25" s="209"/>
      <c r="D25" s="210"/>
      <c r="E25" s="164"/>
      <c r="F25" s="205"/>
      <c r="G25" s="205"/>
      <c r="H25" s="205"/>
      <c r="I25" s="205"/>
      <c r="J25" s="206"/>
      <c r="K25" s="211" t="s">
        <v>129</v>
      </c>
      <c r="L25" s="212">
        <v>3552</v>
      </c>
      <c r="M25" s="212">
        <v>2450743.7014877778</v>
      </c>
      <c r="N25" s="212">
        <v>3907.2000000000007</v>
      </c>
      <c r="O25" s="212">
        <v>2657492.634522534</v>
      </c>
      <c r="P25" s="212">
        <v>4262.3999999999996</v>
      </c>
      <c r="Q25" s="212">
        <v>2864241.5675572893</v>
      </c>
      <c r="R25" s="212">
        <v>3196.8</v>
      </c>
      <c r="S25" s="212">
        <v>2243994.768453022</v>
      </c>
      <c r="T25" s="212">
        <v>2841.6000000000004</v>
      </c>
      <c r="U25" s="212">
        <v>2037245.8354182662</v>
      </c>
    </row>
    <row r="26" spans="1:21" x14ac:dyDescent="0.25">
      <c r="A26" s="207"/>
      <c r="B26" s="208"/>
      <c r="C26" s="209"/>
      <c r="D26" s="210"/>
      <c r="E26" s="164"/>
      <c r="F26" s="205"/>
      <c r="G26" s="205"/>
      <c r="H26" s="205"/>
      <c r="I26" s="205"/>
      <c r="J26" s="206"/>
      <c r="K26" s="213"/>
      <c r="L26" s="214"/>
      <c r="M26" s="214"/>
      <c r="N26" s="214"/>
      <c r="O26" s="214"/>
      <c r="P26" s="214"/>
      <c r="Q26" s="214"/>
      <c r="R26" s="214"/>
      <c r="S26" s="214"/>
      <c r="T26" s="214"/>
      <c r="U26" s="215"/>
    </row>
    <row r="27" spans="1:21" ht="15.75" x14ac:dyDescent="0.25">
      <c r="A27" s="207"/>
      <c r="B27" s="208"/>
      <c r="C27" s="209"/>
      <c r="D27" s="210"/>
      <c r="E27" s="164"/>
      <c r="F27" s="205"/>
      <c r="G27" s="205"/>
      <c r="H27" s="205"/>
      <c r="I27" s="205"/>
      <c r="J27" s="206"/>
      <c r="K27" s="339" t="s">
        <v>130</v>
      </c>
      <c r="L27" s="340"/>
      <c r="M27" s="340"/>
      <c r="N27" s="340"/>
      <c r="O27" s="340"/>
      <c r="P27" s="340"/>
      <c r="Q27" s="340"/>
      <c r="R27" s="340"/>
      <c r="S27" s="340"/>
      <c r="T27" s="340"/>
      <c r="U27" s="341"/>
    </row>
    <row r="28" spans="1:21" x14ac:dyDescent="0.25">
      <c r="A28" s="207"/>
      <c r="B28" s="208"/>
      <c r="C28" s="209"/>
      <c r="D28" s="210"/>
      <c r="E28" s="164"/>
      <c r="F28" s="205"/>
      <c r="G28" s="205"/>
      <c r="H28" s="205"/>
      <c r="I28" s="205"/>
      <c r="J28" s="206"/>
      <c r="K28" s="181"/>
      <c r="L28" s="182" t="s">
        <v>95</v>
      </c>
      <c r="M28" s="183"/>
      <c r="N28" s="182" t="s">
        <v>96</v>
      </c>
      <c r="O28" s="183"/>
      <c r="P28" s="182" t="s">
        <v>97</v>
      </c>
      <c r="Q28" s="183"/>
      <c r="R28" s="182" t="s">
        <v>98</v>
      </c>
      <c r="S28" s="183"/>
      <c r="T28" s="182" t="s">
        <v>99</v>
      </c>
      <c r="U28" s="184"/>
    </row>
    <row r="29" spans="1:21" x14ac:dyDescent="0.25">
      <c r="A29" s="207"/>
      <c r="B29" s="208"/>
      <c r="C29" s="209"/>
      <c r="D29" s="210"/>
      <c r="E29" s="164"/>
      <c r="F29" s="205"/>
      <c r="G29" s="205"/>
      <c r="H29" s="205"/>
      <c r="I29" s="205"/>
      <c r="J29" s="206"/>
      <c r="K29" s="187" t="s">
        <v>105</v>
      </c>
      <c r="L29" s="151" t="s">
        <v>106</v>
      </c>
      <c r="M29" s="151" t="s">
        <v>38</v>
      </c>
      <c r="N29" s="151" t="s">
        <v>106</v>
      </c>
      <c r="O29" s="151" t="s">
        <v>38</v>
      </c>
      <c r="P29" s="151" t="s">
        <v>106</v>
      </c>
      <c r="Q29" s="151" t="s">
        <v>38</v>
      </c>
      <c r="R29" s="151" t="s">
        <v>106</v>
      </c>
      <c r="S29" s="151" t="s">
        <v>38</v>
      </c>
      <c r="T29" s="151" t="s">
        <v>106</v>
      </c>
      <c r="U29" s="151" t="s">
        <v>38</v>
      </c>
    </row>
    <row r="30" spans="1:21" x14ac:dyDescent="0.25">
      <c r="A30" s="216"/>
      <c r="B30" s="217"/>
      <c r="C30" s="218"/>
      <c r="D30" s="219"/>
      <c r="E30" s="220"/>
      <c r="F30" s="205"/>
      <c r="G30" s="205"/>
      <c r="H30" s="205"/>
      <c r="I30" s="205"/>
      <c r="J30" s="206"/>
      <c r="K30" s="153" t="s">
        <v>41</v>
      </c>
      <c r="L30" s="189">
        <v>941.99999999999955</v>
      </c>
      <c r="M30" s="190">
        <v>11025.578371025713</v>
      </c>
      <c r="N30" s="189">
        <v>1036.2000000000003</v>
      </c>
      <c r="O30" s="190">
        <v>11224.606569097681</v>
      </c>
      <c r="P30" s="189">
        <v>1130.4000000000001</v>
      </c>
      <c r="Q30" s="190">
        <v>11423.63476716964</v>
      </c>
      <c r="R30" s="189">
        <v>847.79999999999973</v>
      </c>
      <c r="S30" s="190">
        <v>10826.550172953748</v>
      </c>
      <c r="T30" s="189">
        <v>753.60000000000014</v>
      </c>
      <c r="U30" s="190">
        <v>10627.521974881787</v>
      </c>
    </row>
    <row r="31" spans="1:21" x14ac:dyDescent="0.25">
      <c r="A31" s="221"/>
      <c r="B31" s="222"/>
      <c r="C31" s="222"/>
      <c r="D31" s="222" t="s">
        <v>131</v>
      </c>
      <c r="E31" s="223">
        <v>49500</v>
      </c>
      <c r="F31" s="224"/>
      <c r="G31" s="224"/>
      <c r="H31" s="224"/>
      <c r="I31" s="224"/>
      <c r="J31" s="225"/>
      <c r="K31" s="153" t="s">
        <v>42</v>
      </c>
      <c r="L31" s="173">
        <v>723.00000000000023</v>
      </c>
      <c r="M31" s="164">
        <v>15896.78302906154</v>
      </c>
      <c r="N31" s="173">
        <v>795.30000000000064</v>
      </c>
      <c r="O31" s="164">
        <v>16030.181752838778</v>
      </c>
      <c r="P31" s="173">
        <v>867.60000000000048</v>
      </c>
      <c r="Q31" s="164">
        <v>16163.580476616009</v>
      </c>
      <c r="R31" s="173">
        <v>650.70000000000016</v>
      </c>
      <c r="S31" s="164">
        <v>15763.384305284306</v>
      </c>
      <c r="T31" s="173">
        <v>578.40000000000043</v>
      </c>
      <c r="U31" s="164">
        <v>15629.985581507068</v>
      </c>
    </row>
    <row r="32" spans="1:21" x14ac:dyDescent="0.25">
      <c r="A32" s="226"/>
      <c r="B32" s="227"/>
      <c r="C32" s="227"/>
      <c r="D32" s="228"/>
      <c r="E32" s="229"/>
      <c r="F32" s="230"/>
      <c r="G32" s="230"/>
      <c r="H32" s="230"/>
      <c r="I32" s="230"/>
      <c r="J32" s="231"/>
      <c r="K32" s="153" t="s">
        <v>43</v>
      </c>
      <c r="L32" s="173">
        <v>523</v>
      </c>
      <c r="M32" s="164">
        <v>13347.818632084445</v>
      </c>
      <c r="N32" s="173">
        <v>575.29999999999995</v>
      </c>
      <c r="O32" s="164">
        <v>13431.100362551029</v>
      </c>
      <c r="P32" s="173">
        <v>627.59999999999991</v>
      </c>
      <c r="Q32" s="164">
        <v>13514.382093017612</v>
      </c>
      <c r="R32" s="173">
        <v>470.7</v>
      </c>
      <c r="S32" s="164">
        <v>13264.536901617865</v>
      </c>
      <c r="T32" s="173">
        <v>418.4</v>
      </c>
      <c r="U32" s="164">
        <v>13181.255171151284</v>
      </c>
    </row>
    <row r="33" spans="1:21" ht="15.75" x14ac:dyDescent="0.25">
      <c r="A33" s="352" t="s">
        <v>132</v>
      </c>
      <c r="B33" s="353"/>
      <c r="C33" s="353"/>
      <c r="D33" s="353"/>
      <c r="E33" s="353"/>
      <c r="F33" s="353"/>
      <c r="G33" s="353"/>
      <c r="H33" s="353"/>
      <c r="I33" s="353"/>
      <c r="J33" s="354"/>
      <c r="K33" s="153" t="s">
        <v>113</v>
      </c>
      <c r="L33" s="173">
        <v>244.99999999999997</v>
      </c>
      <c r="M33" s="164">
        <v>12526.154766429281</v>
      </c>
      <c r="N33" s="173">
        <v>269.5</v>
      </c>
      <c r="O33" s="164">
        <v>12612.91543356281</v>
      </c>
      <c r="P33" s="173">
        <v>293.99999999999989</v>
      </c>
      <c r="Q33" s="164">
        <v>12699.676100696337</v>
      </c>
      <c r="R33" s="173">
        <v>220.50000000000011</v>
      </c>
      <c r="S33" s="164">
        <v>12439.394099295758</v>
      </c>
      <c r="T33" s="173">
        <v>196</v>
      </c>
      <c r="U33" s="164">
        <v>12352.633432162227</v>
      </c>
    </row>
    <row r="34" spans="1:21" x14ac:dyDescent="0.25">
      <c r="A34" s="152" t="s">
        <v>118</v>
      </c>
      <c r="B34" s="331" t="s">
        <v>119</v>
      </c>
      <c r="C34" s="332"/>
      <c r="D34" s="333"/>
      <c r="E34" s="152" t="s">
        <v>120</v>
      </c>
      <c r="F34" s="331" t="s">
        <v>121</v>
      </c>
      <c r="G34" s="334"/>
      <c r="H34" s="335"/>
      <c r="I34" s="335"/>
      <c r="J34" s="336"/>
      <c r="K34" s="153" t="s">
        <v>114</v>
      </c>
      <c r="L34" s="173">
        <v>63.999999999999972</v>
      </c>
      <c r="M34" s="164">
        <v>14294.056742405137</v>
      </c>
      <c r="N34" s="173">
        <v>70.399999999999977</v>
      </c>
      <c r="O34" s="164">
        <v>14316.438952226743</v>
      </c>
      <c r="P34" s="173">
        <v>76.800000000000054</v>
      </c>
      <c r="Q34" s="164">
        <v>14338.821162048347</v>
      </c>
      <c r="R34" s="173">
        <v>57.599999999999987</v>
      </c>
      <c r="S34" s="164">
        <v>14271.674532583531</v>
      </c>
      <c r="T34" s="173">
        <v>51.200000000000031</v>
      </c>
      <c r="U34" s="164">
        <v>14249.292322761921</v>
      </c>
    </row>
    <row r="35" spans="1:21" x14ac:dyDescent="0.25">
      <c r="A35" s="201"/>
      <c r="B35" s="202"/>
      <c r="C35" s="203"/>
      <c r="D35" s="232"/>
      <c r="E35" s="190"/>
      <c r="F35" s="233"/>
      <c r="G35" s="233"/>
      <c r="H35" s="233"/>
      <c r="I35" s="233"/>
      <c r="J35" s="234"/>
      <c r="K35" s="153" t="s">
        <v>115</v>
      </c>
      <c r="L35" s="173">
        <v>3.9999999999999987</v>
      </c>
      <c r="M35" s="164">
        <v>12941.441292994001</v>
      </c>
      <c r="N35" s="173">
        <v>4.3999999999999959</v>
      </c>
      <c r="O35" s="164">
        <v>12941.651266399951</v>
      </c>
      <c r="P35" s="173">
        <v>4.8000000000000016</v>
      </c>
      <c r="Q35" s="164">
        <v>12941.861239805901</v>
      </c>
      <c r="R35" s="173">
        <v>3.6</v>
      </c>
      <c r="S35" s="164">
        <v>12941.231319588047</v>
      </c>
      <c r="T35" s="173">
        <v>3.199999999999998</v>
      </c>
      <c r="U35" s="164">
        <v>12941.021346182099</v>
      </c>
    </row>
    <row r="36" spans="1:21" x14ac:dyDescent="0.25">
      <c r="A36" s="207"/>
      <c r="B36" s="208"/>
      <c r="C36" s="209"/>
      <c r="D36" s="235"/>
      <c r="E36" s="164"/>
      <c r="F36" s="205"/>
      <c r="G36" s="205"/>
      <c r="H36" s="205"/>
      <c r="I36" s="205"/>
      <c r="J36" s="206"/>
      <c r="K36" s="153" t="s">
        <v>117</v>
      </c>
      <c r="L36" s="173">
        <v>0</v>
      </c>
      <c r="M36" s="164">
        <v>13890.286029282586</v>
      </c>
      <c r="N36" s="173">
        <v>0</v>
      </c>
      <c r="O36" s="164">
        <v>13890.047959020179</v>
      </c>
      <c r="P36" s="173">
        <v>0</v>
      </c>
      <c r="Q36" s="164">
        <v>13889.809888757771</v>
      </c>
      <c r="R36" s="173">
        <v>0</v>
      </c>
      <c r="S36" s="164">
        <v>13890.524099544995</v>
      </c>
      <c r="T36" s="173">
        <v>0</v>
      </c>
      <c r="U36" s="164">
        <v>13890.7621698074</v>
      </c>
    </row>
    <row r="37" spans="1:21" x14ac:dyDescent="0.25">
      <c r="A37" s="207"/>
      <c r="B37" s="208"/>
      <c r="C37" s="209"/>
      <c r="D37" s="235"/>
      <c r="E37" s="164"/>
      <c r="F37" s="205"/>
      <c r="G37" s="205"/>
      <c r="H37" s="205"/>
      <c r="I37" s="205"/>
      <c r="J37" s="206"/>
      <c r="K37" s="153" t="s">
        <v>122</v>
      </c>
      <c r="L37" s="173">
        <v>0.99999999999999922</v>
      </c>
      <c r="M37" s="164">
        <v>14175.444928278424</v>
      </c>
      <c r="N37" s="173">
        <v>1.1000000000000001</v>
      </c>
      <c r="O37" s="164">
        <v>14175.967820052843</v>
      </c>
      <c r="P37" s="173">
        <v>1.1999999999999988</v>
      </c>
      <c r="Q37" s="164">
        <v>14176.490711827259</v>
      </c>
      <c r="R37" s="173">
        <v>0.8999999999999998</v>
      </c>
      <c r="S37" s="164">
        <v>14174.922036504002</v>
      </c>
      <c r="T37" s="173">
        <v>0.79999999999999949</v>
      </c>
      <c r="U37" s="164">
        <v>14174.399144729587</v>
      </c>
    </row>
    <row r="38" spans="1:21" x14ac:dyDescent="0.25">
      <c r="A38" s="207"/>
      <c r="B38" s="208"/>
      <c r="C38" s="209"/>
      <c r="D38" s="235"/>
      <c r="E38" s="164"/>
      <c r="F38" s="205"/>
      <c r="G38" s="205"/>
      <c r="H38" s="205"/>
      <c r="I38" s="205"/>
      <c r="J38" s="206"/>
      <c r="K38" s="153" t="s">
        <v>125</v>
      </c>
      <c r="L38" s="173">
        <v>38</v>
      </c>
      <c r="M38" s="164">
        <v>16894.741856656445</v>
      </c>
      <c r="N38" s="173">
        <v>41.79999999999999</v>
      </c>
      <c r="O38" s="164">
        <v>16917.801341519207</v>
      </c>
      <c r="P38" s="173">
        <v>45.6</v>
      </c>
      <c r="Q38" s="164">
        <v>16940.860826381973</v>
      </c>
      <c r="R38" s="173">
        <v>34.200000000000003</v>
      </c>
      <c r="S38" s="164">
        <v>16871.682371793679</v>
      </c>
      <c r="T38" s="173">
        <v>30.399999999999991</v>
      </c>
      <c r="U38" s="164">
        <v>16848.622886930909</v>
      </c>
    </row>
    <row r="39" spans="1:21" x14ac:dyDescent="0.25">
      <c r="A39" s="207"/>
      <c r="B39" s="208"/>
      <c r="C39" s="209"/>
      <c r="D39" s="235"/>
      <c r="E39" s="164"/>
      <c r="F39" s="205"/>
      <c r="G39" s="205"/>
      <c r="H39" s="205"/>
      <c r="I39" s="205"/>
      <c r="J39" s="206"/>
      <c r="K39" s="153" t="s">
        <v>127</v>
      </c>
      <c r="L39" s="173">
        <v>228</v>
      </c>
      <c r="M39" s="164">
        <v>10295.868596036355</v>
      </c>
      <c r="N39" s="173">
        <v>250.80000000000004</v>
      </c>
      <c r="O39" s="164">
        <v>10414.65831165726</v>
      </c>
      <c r="P39" s="173">
        <v>273.60000000000002</v>
      </c>
      <c r="Q39" s="164">
        <v>10533.448027278158</v>
      </c>
      <c r="R39" s="173">
        <v>205.2</v>
      </c>
      <c r="S39" s="164">
        <v>10177.078880415456</v>
      </c>
      <c r="T39" s="173">
        <v>182.40000000000003</v>
      </c>
      <c r="U39" s="164">
        <v>10058.289164794551</v>
      </c>
    </row>
    <row r="40" spans="1:21" x14ac:dyDescent="0.25">
      <c r="A40" s="207"/>
      <c r="B40" s="208"/>
      <c r="C40" s="209"/>
      <c r="D40" s="235"/>
      <c r="E40" s="164"/>
      <c r="F40" s="205"/>
      <c r="G40" s="205"/>
      <c r="H40" s="205"/>
      <c r="I40" s="205"/>
      <c r="J40" s="206"/>
      <c r="K40" s="153" t="s">
        <v>39</v>
      </c>
      <c r="L40" s="173">
        <v>510</v>
      </c>
      <c r="M40" s="164">
        <v>10832.758249106613</v>
      </c>
      <c r="N40" s="173">
        <v>560.99999999999989</v>
      </c>
      <c r="O40" s="164">
        <v>10982.388767106057</v>
      </c>
      <c r="P40" s="173">
        <v>612</v>
      </c>
      <c r="Q40" s="164">
        <v>11132.019285105505</v>
      </c>
      <c r="R40" s="173">
        <v>459</v>
      </c>
      <c r="S40" s="164">
        <v>10683.127731107164</v>
      </c>
      <c r="T40" s="173">
        <v>408</v>
      </c>
      <c r="U40" s="164">
        <v>10533.497213107719</v>
      </c>
    </row>
    <row r="41" spans="1:21" x14ac:dyDescent="0.25">
      <c r="A41" s="207"/>
      <c r="B41" s="208"/>
      <c r="C41" s="209"/>
      <c r="D41" s="235"/>
      <c r="E41" s="164"/>
      <c r="F41" s="205"/>
      <c r="G41" s="205"/>
      <c r="H41" s="205"/>
      <c r="I41" s="205"/>
      <c r="J41" s="206"/>
      <c r="K41" s="153" t="s">
        <v>40</v>
      </c>
      <c r="L41" s="173">
        <v>854</v>
      </c>
      <c r="M41" s="164">
        <v>15429.448555687937</v>
      </c>
      <c r="N41" s="173">
        <v>939.39999999999986</v>
      </c>
      <c r="O41" s="164">
        <v>15633.583238710367</v>
      </c>
      <c r="P41" s="173">
        <v>1024.7999999999997</v>
      </c>
      <c r="Q41" s="164">
        <v>15837.717921732796</v>
      </c>
      <c r="R41" s="173">
        <v>768.60000000000014</v>
      </c>
      <c r="S41" s="164">
        <v>15225.313872665503</v>
      </c>
      <c r="T41" s="173">
        <v>683.19999999999993</v>
      </c>
      <c r="U41" s="164">
        <v>15021.179189643079</v>
      </c>
    </row>
    <row r="42" spans="1:21" x14ac:dyDescent="0.25">
      <c r="A42" s="207"/>
      <c r="B42" s="208"/>
      <c r="C42" s="209"/>
      <c r="D42" s="235"/>
      <c r="E42" s="164"/>
      <c r="F42" s="205"/>
      <c r="G42" s="205"/>
      <c r="H42" s="205"/>
      <c r="I42" s="205"/>
      <c r="J42" s="206"/>
      <c r="K42" s="211" t="s">
        <v>133</v>
      </c>
      <c r="L42" s="212">
        <v>4132</v>
      </c>
      <c r="M42" s="212">
        <v>161550.38104904848</v>
      </c>
      <c r="N42" s="212">
        <v>4545.2000000000016</v>
      </c>
      <c r="O42" s="212">
        <v>162571.3417747429</v>
      </c>
      <c r="P42" s="212">
        <v>4958.3999999999996</v>
      </c>
      <c r="Q42" s="212">
        <v>163592.30250043733</v>
      </c>
      <c r="R42" s="212">
        <v>3718.8</v>
      </c>
      <c r="S42" s="212">
        <v>160529.42032335408</v>
      </c>
      <c r="T42" s="212">
        <v>3305.6000000000004</v>
      </c>
      <c r="U42" s="212">
        <v>159508.45959765959</v>
      </c>
    </row>
    <row r="43" spans="1:21" x14ac:dyDescent="0.25">
      <c r="A43" s="207"/>
      <c r="B43" s="208"/>
      <c r="C43" s="209"/>
      <c r="D43" s="235"/>
      <c r="E43" s="164"/>
      <c r="F43" s="205"/>
      <c r="G43" s="205"/>
      <c r="H43" s="205"/>
      <c r="I43" s="205"/>
      <c r="J43" s="206"/>
      <c r="K43" s="211" t="s">
        <v>134</v>
      </c>
      <c r="L43" s="212">
        <v>3552</v>
      </c>
      <c r="M43" s="212">
        <v>66532.386836966252</v>
      </c>
      <c r="N43" s="212">
        <v>3907.2000000000007</v>
      </c>
      <c r="O43" s="212">
        <v>67301.860690303918</v>
      </c>
      <c r="P43" s="212">
        <v>4262.3999999999996</v>
      </c>
      <c r="Q43" s="212">
        <v>68071.334543641555</v>
      </c>
      <c r="R43" s="212">
        <v>3196.8</v>
      </c>
      <c r="S43" s="212">
        <v>65762.912983628587</v>
      </c>
      <c r="T43" s="212">
        <v>2841.6000000000004</v>
      </c>
      <c r="U43" s="212">
        <v>64993.439130290935</v>
      </c>
    </row>
    <row r="44" spans="1:21" x14ac:dyDescent="0.25">
      <c r="A44" s="207"/>
      <c r="B44" s="217"/>
      <c r="C44" s="218"/>
      <c r="D44" s="236"/>
      <c r="E44" s="220"/>
      <c r="F44" s="205"/>
      <c r="G44" s="205"/>
      <c r="H44" s="205"/>
      <c r="I44" s="205"/>
      <c r="J44" s="206"/>
      <c r="K44" s="211" t="s">
        <v>135</v>
      </c>
      <c r="L44" s="212">
        <v>4132</v>
      </c>
      <c r="M44" s="212">
        <v>3279864.8211217192</v>
      </c>
      <c r="N44" s="212">
        <v>4545.2000000000016</v>
      </c>
      <c r="O44" s="212">
        <v>3525020.2340581305</v>
      </c>
      <c r="P44" s="212">
        <v>4958.3999999999996</v>
      </c>
      <c r="Q44" s="212">
        <v>3770175.6469945419</v>
      </c>
      <c r="R44" s="212">
        <v>3718.8</v>
      </c>
      <c r="S44" s="212">
        <v>3034709.4081853074</v>
      </c>
      <c r="T44" s="212">
        <v>3305.6000000000004</v>
      </c>
      <c r="U44" s="212">
        <v>2789553.9952488965</v>
      </c>
    </row>
    <row r="45" spans="1:21" x14ac:dyDescent="0.25">
      <c r="A45" s="221"/>
      <c r="B45" s="222"/>
      <c r="C45" s="222"/>
      <c r="D45" s="222" t="s">
        <v>136</v>
      </c>
      <c r="E45" s="223">
        <v>0</v>
      </c>
      <c r="F45" s="224"/>
      <c r="G45" s="224"/>
      <c r="H45" s="224"/>
      <c r="I45" s="224"/>
      <c r="J45" s="225"/>
      <c r="K45" s="211" t="s">
        <v>137</v>
      </c>
      <c r="L45" s="212">
        <v>3552</v>
      </c>
      <c r="M45" s="212">
        <v>2517276.0883247438</v>
      </c>
      <c r="N45" s="212">
        <v>3907.2000000000007</v>
      </c>
      <c r="O45" s="212">
        <v>2724794.4952128381</v>
      </c>
      <c r="P45" s="212">
        <v>4262.3999999999996</v>
      </c>
      <c r="Q45" s="212">
        <v>2932312.9021009309</v>
      </c>
      <c r="R45" s="212">
        <v>3196.8</v>
      </c>
      <c r="S45" s="212">
        <v>2309757.6814366505</v>
      </c>
      <c r="T45" s="212">
        <v>2841.6000000000004</v>
      </c>
      <c r="U45" s="212">
        <v>2102239.2745485571</v>
      </c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phoneticPr fontId="13" type="noConversion"/>
  <conditionalFormatting sqref="J9">
    <cfRule type="cellIs" dxfId="19" priority="4" stopIfTrue="1" operator="greaterThanOrEqual">
      <formula>#REF!</formula>
    </cfRule>
  </conditionalFormatting>
  <conditionalFormatting sqref="J10">
    <cfRule type="cellIs" dxfId="18" priority="3" stopIfTrue="1" operator="greaterThanOrEqual">
      <formula>#REF!</formula>
    </cfRule>
  </conditionalFormatting>
  <conditionalFormatting sqref="H9">
    <cfRule type="cellIs" dxfId="17" priority="2" stopIfTrue="1" operator="greaterThanOrEqual">
      <formula>#REF!</formula>
    </cfRule>
  </conditionalFormatting>
  <conditionalFormatting sqref="F4:J4">
    <cfRule type="containsText" dxfId="16" priority="1" stopIfTrue="1" operator="containsText" text="PEAK DAY">
      <formula>NOT(ISERROR(SEARCH("PEAK DAY",F4)))</formula>
    </cfRule>
  </conditionalFormatting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="75" zoomScaleNormal="75" workbookViewId="0">
      <selection activeCell="M33" activeCellId="1" sqref="M15:M21 M33:M39"/>
    </sheetView>
  </sheetViews>
  <sheetFormatPr defaultColWidth="9.140625" defaultRowHeight="15" x14ac:dyDescent="0.25"/>
  <cols>
    <col min="1" max="1" width="26.7109375" style="237" customWidth="1"/>
    <col min="2" max="3" width="18.7109375" style="237" customWidth="1"/>
    <col min="4" max="4" width="27.7109375" style="237" customWidth="1"/>
    <col min="5" max="5" width="15.7109375" style="237" customWidth="1"/>
    <col min="6" max="7" width="12.7109375" style="237" customWidth="1"/>
    <col min="8" max="8" width="17.7109375" style="237" customWidth="1"/>
    <col min="9" max="10" width="15.7109375" style="237" customWidth="1"/>
    <col min="11" max="13" width="18.7109375" style="138" customWidth="1"/>
    <col min="14" max="21" width="15.85546875" style="138" customWidth="1"/>
    <col min="22" max="16384" width="9.140625" style="138"/>
  </cols>
  <sheetData>
    <row r="1" spans="1:21" ht="18" x14ac:dyDescent="0.25">
      <c r="A1" s="302" t="s">
        <v>18</v>
      </c>
      <c r="B1" s="303"/>
      <c r="C1" s="303"/>
      <c r="D1" s="303"/>
      <c r="E1" s="303"/>
      <c r="F1" s="303"/>
      <c r="G1" s="303"/>
      <c r="H1" s="303"/>
      <c r="I1" s="303"/>
      <c r="J1" s="304"/>
      <c r="K1" s="302" t="s">
        <v>18</v>
      </c>
      <c r="L1" s="303"/>
      <c r="M1" s="303"/>
      <c r="N1" s="303"/>
      <c r="O1" s="303"/>
      <c r="P1" s="303"/>
      <c r="Q1" s="303"/>
      <c r="R1" s="303"/>
      <c r="S1" s="303"/>
      <c r="T1" s="303"/>
      <c r="U1" s="304"/>
    </row>
    <row r="2" spans="1:21" ht="18" x14ac:dyDescent="0.25">
      <c r="A2" s="305" t="s">
        <v>170</v>
      </c>
      <c r="B2" s="306"/>
      <c r="C2" s="306"/>
      <c r="D2" s="306"/>
      <c r="E2" s="306"/>
      <c r="F2" s="306"/>
      <c r="G2" s="306"/>
      <c r="H2" s="306"/>
      <c r="I2" s="306"/>
      <c r="J2" s="307"/>
      <c r="K2" s="305" t="s">
        <v>171</v>
      </c>
      <c r="L2" s="306"/>
      <c r="M2" s="306"/>
      <c r="N2" s="306"/>
      <c r="O2" s="306"/>
      <c r="P2" s="306"/>
      <c r="Q2" s="306"/>
      <c r="R2" s="306"/>
      <c r="S2" s="306"/>
      <c r="T2" s="306"/>
      <c r="U2" s="307"/>
    </row>
    <row r="3" spans="1:21" x14ac:dyDescent="0.25">
      <c r="A3" s="139"/>
      <c r="B3" s="140"/>
      <c r="C3"/>
      <c r="D3" s="308" t="s">
        <v>178</v>
      </c>
      <c r="E3" s="308"/>
      <c r="F3" s="308"/>
      <c r="G3"/>
      <c r="H3" s="140"/>
      <c r="I3" s="140"/>
      <c r="J3" s="141"/>
      <c r="K3" s="139"/>
      <c r="L3" s="140"/>
      <c r="M3"/>
      <c r="N3" s="308" t="s">
        <v>178</v>
      </c>
      <c r="O3" s="308"/>
      <c r="P3" s="308"/>
      <c r="Q3" s="308"/>
      <c r="R3"/>
      <c r="S3"/>
      <c r="T3" s="140"/>
      <c r="U3" s="141"/>
    </row>
    <row r="4" spans="1:21" x14ac:dyDescent="0.25">
      <c r="A4" s="142"/>
      <c r="B4" s="143"/>
      <c r="C4" s="143"/>
      <c r="D4" s="143"/>
      <c r="E4" s="143"/>
      <c r="F4" s="309" t="s">
        <v>157</v>
      </c>
      <c r="G4" s="309"/>
      <c r="H4" s="309"/>
      <c r="I4" s="309"/>
      <c r="J4" s="310"/>
      <c r="K4" s="144"/>
      <c r="L4" s="145"/>
      <c r="M4" s="145"/>
      <c r="N4" s="145"/>
      <c r="O4" s="145"/>
      <c r="P4" s="145"/>
      <c r="Q4" s="145"/>
      <c r="R4" s="145"/>
      <c r="S4" s="145"/>
      <c r="T4" s="145"/>
      <c r="U4" s="146"/>
    </row>
    <row r="5" spans="1:21" ht="15" customHeight="1" x14ac:dyDescent="0.25">
      <c r="A5" s="147" t="s">
        <v>68</v>
      </c>
      <c r="B5" s="311" t="s">
        <v>66</v>
      </c>
      <c r="C5" s="312"/>
      <c r="D5" s="148" t="s">
        <v>69</v>
      </c>
      <c r="E5" s="149"/>
      <c r="F5" s="148" t="s">
        <v>70</v>
      </c>
      <c r="G5" s="150"/>
      <c r="H5" s="151" t="s">
        <v>71</v>
      </c>
      <c r="I5" s="152" t="s">
        <v>85</v>
      </c>
      <c r="J5" s="152"/>
      <c r="K5" s="147" t="s">
        <v>68</v>
      </c>
      <c r="L5" s="313" t="s">
        <v>66</v>
      </c>
      <c r="M5" s="314"/>
      <c r="N5" s="148" t="s">
        <v>72</v>
      </c>
      <c r="O5" s="150"/>
      <c r="P5" s="315" t="s">
        <v>179</v>
      </c>
      <c r="Q5" s="316"/>
      <c r="R5" s="316"/>
      <c r="S5" s="316"/>
      <c r="T5" s="316"/>
      <c r="U5" s="317"/>
    </row>
    <row r="6" spans="1:21" x14ac:dyDescent="0.25">
      <c r="A6" s="153" t="s">
        <v>73</v>
      </c>
      <c r="B6" s="324" t="s">
        <v>158</v>
      </c>
      <c r="C6" s="325"/>
      <c r="D6" s="154" t="s">
        <v>75</v>
      </c>
      <c r="E6" s="155">
        <v>0.96147126247600201</v>
      </c>
      <c r="F6" s="156" t="s">
        <v>76</v>
      </c>
      <c r="G6" s="157"/>
      <c r="H6" s="158">
        <v>74.5</v>
      </c>
      <c r="I6" s="159">
        <v>31067</v>
      </c>
      <c r="J6" s="160"/>
      <c r="K6" s="153" t="s">
        <v>73</v>
      </c>
      <c r="L6" s="326" t="s">
        <v>158</v>
      </c>
      <c r="M6" s="327"/>
      <c r="N6" s="161">
        <v>640</v>
      </c>
      <c r="O6" s="162"/>
      <c r="P6" s="318"/>
      <c r="Q6" s="319"/>
      <c r="R6" s="319"/>
      <c r="S6" s="319"/>
      <c r="T6" s="319"/>
      <c r="U6" s="320"/>
    </row>
    <row r="7" spans="1:21" x14ac:dyDescent="0.25">
      <c r="A7" s="153" t="s">
        <v>78</v>
      </c>
      <c r="B7" s="328" t="s">
        <v>138</v>
      </c>
      <c r="C7" s="327"/>
      <c r="D7" s="163" t="s">
        <v>80</v>
      </c>
      <c r="E7" s="164">
        <v>19.056610196115098</v>
      </c>
      <c r="F7" s="156" t="s">
        <v>81</v>
      </c>
      <c r="G7" s="157"/>
      <c r="H7" s="165">
        <v>55</v>
      </c>
      <c r="I7" s="166">
        <v>31066</v>
      </c>
      <c r="J7" s="167"/>
      <c r="K7" s="168" t="s">
        <v>78</v>
      </c>
      <c r="L7" s="329" t="s">
        <v>138</v>
      </c>
      <c r="M7" s="330"/>
      <c r="N7" s="148"/>
      <c r="O7" s="150"/>
      <c r="P7" s="321"/>
      <c r="Q7" s="322"/>
      <c r="R7" s="322"/>
      <c r="S7" s="322"/>
      <c r="T7" s="322"/>
      <c r="U7" s="323"/>
    </row>
    <row r="8" spans="1:21" ht="15.75" x14ac:dyDescent="0.25">
      <c r="A8" s="153" t="s">
        <v>82</v>
      </c>
      <c r="B8" s="337" t="s">
        <v>65</v>
      </c>
      <c r="C8" s="338"/>
      <c r="D8" s="163" t="s">
        <v>83</v>
      </c>
      <c r="E8" s="164">
        <v>37.350955984385593</v>
      </c>
      <c r="F8" s="156"/>
      <c r="G8" s="157"/>
      <c r="H8" s="152" t="s">
        <v>84</v>
      </c>
      <c r="I8" s="169" t="s">
        <v>85</v>
      </c>
      <c r="J8" s="152" t="s">
        <v>86</v>
      </c>
      <c r="K8" s="170"/>
      <c r="L8" s="171"/>
      <c r="M8" s="171"/>
      <c r="N8" s="171"/>
      <c r="O8" s="171"/>
      <c r="P8" s="171"/>
      <c r="Q8" s="171"/>
      <c r="R8" s="171"/>
      <c r="S8" s="171"/>
      <c r="T8" s="171"/>
      <c r="U8" s="172"/>
    </row>
    <row r="9" spans="1:21" ht="15.75" x14ac:dyDescent="0.25">
      <c r="A9" s="153" t="s">
        <v>87</v>
      </c>
      <c r="B9" s="337" t="s">
        <v>77</v>
      </c>
      <c r="C9" s="338"/>
      <c r="D9" s="163" t="s">
        <v>88</v>
      </c>
      <c r="E9" s="173">
        <v>640</v>
      </c>
      <c r="F9" s="156" t="s">
        <v>89</v>
      </c>
      <c r="G9" s="157"/>
      <c r="H9" s="165">
        <v>61.2</v>
      </c>
      <c r="I9" s="174">
        <v>38016</v>
      </c>
      <c r="J9" s="175">
        <v>575</v>
      </c>
      <c r="K9" s="339" t="s">
        <v>90</v>
      </c>
      <c r="L9" s="340"/>
      <c r="M9" s="340"/>
      <c r="N9" s="340"/>
      <c r="O9" s="340"/>
      <c r="P9" s="340"/>
      <c r="Q9" s="340"/>
      <c r="R9" s="340"/>
      <c r="S9" s="340"/>
      <c r="T9" s="340"/>
      <c r="U9" s="341"/>
    </row>
    <row r="10" spans="1:21" x14ac:dyDescent="0.25">
      <c r="A10" s="153" t="s">
        <v>91</v>
      </c>
      <c r="B10" s="328" t="s">
        <v>92</v>
      </c>
      <c r="C10" s="327"/>
      <c r="D10" s="163" t="s">
        <v>93</v>
      </c>
      <c r="E10" s="164">
        <v>0</v>
      </c>
      <c r="F10" s="176" t="s">
        <v>94</v>
      </c>
      <c r="G10" s="177"/>
      <c r="H10" s="178">
        <v>65</v>
      </c>
      <c r="I10" s="179">
        <v>41645</v>
      </c>
      <c r="J10" s="180">
        <v>573</v>
      </c>
      <c r="K10" s="181"/>
      <c r="L10" s="182" t="s">
        <v>95</v>
      </c>
      <c r="M10" s="183"/>
      <c r="N10" s="182" t="s">
        <v>96</v>
      </c>
      <c r="O10" s="183"/>
      <c r="P10" s="182" t="s">
        <v>97</v>
      </c>
      <c r="Q10" s="183"/>
      <c r="R10" s="182" t="s">
        <v>98</v>
      </c>
      <c r="S10" s="183"/>
      <c r="T10" s="182" t="s">
        <v>99</v>
      </c>
      <c r="U10" s="184"/>
    </row>
    <row r="11" spans="1:21" ht="15" customHeight="1" x14ac:dyDescent="0.25">
      <c r="A11" s="342" t="s">
        <v>180</v>
      </c>
      <c r="B11" s="343"/>
      <c r="C11" s="344"/>
      <c r="D11" s="185" t="s">
        <v>100</v>
      </c>
      <c r="E11" s="186">
        <v>640</v>
      </c>
      <c r="F11" s="148" t="s">
        <v>101</v>
      </c>
      <c r="G11" s="150"/>
      <c r="H11" s="151" t="s">
        <v>102</v>
      </c>
      <c r="I11" s="152" t="s">
        <v>103</v>
      </c>
      <c r="J11" s="152" t="s">
        <v>104</v>
      </c>
      <c r="K11" s="187" t="s">
        <v>105</v>
      </c>
      <c r="L11" s="151" t="s">
        <v>106</v>
      </c>
      <c r="M11" s="151" t="s">
        <v>38</v>
      </c>
      <c r="N11" s="151" t="s">
        <v>106</v>
      </c>
      <c r="O11" s="151" t="s">
        <v>38</v>
      </c>
      <c r="P11" s="151" t="s">
        <v>106</v>
      </c>
      <c r="Q11" s="151" t="s">
        <v>38</v>
      </c>
      <c r="R11" s="151" t="s">
        <v>106</v>
      </c>
      <c r="S11" s="151" t="s">
        <v>38</v>
      </c>
      <c r="T11" s="151" t="s">
        <v>106</v>
      </c>
      <c r="U11" s="151" t="s">
        <v>38</v>
      </c>
    </row>
    <row r="12" spans="1:21" x14ac:dyDescent="0.25">
      <c r="A12" s="345"/>
      <c r="B12" s="346"/>
      <c r="C12" s="347"/>
      <c r="D12" s="149" t="s">
        <v>107</v>
      </c>
      <c r="E12" s="188"/>
      <c r="F12" s="147" t="s">
        <v>108</v>
      </c>
      <c r="G12" s="147"/>
      <c r="H12" s="121">
        <v>39393.689617800374</v>
      </c>
      <c r="I12" s="121">
        <v>0</v>
      </c>
      <c r="J12" s="121">
        <v>39393.689617800374</v>
      </c>
      <c r="K12" s="153" t="s">
        <v>41</v>
      </c>
      <c r="L12" s="189">
        <v>1007.0000000000007</v>
      </c>
      <c r="M12" s="190">
        <v>8042.3669251058636</v>
      </c>
      <c r="N12" s="189">
        <v>1107.7000000000003</v>
      </c>
      <c r="O12" s="190">
        <v>8794.3590221966224</v>
      </c>
      <c r="P12" s="189">
        <v>1208.3999999999999</v>
      </c>
      <c r="Q12" s="190">
        <v>9546.3511192873812</v>
      </c>
      <c r="R12" s="189">
        <v>906.30000000000007</v>
      </c>
      <c r="S12" s="190">
        <v>7290.374828015104</v>
      </c>
      <c r="T12" s="189">
        <v>805.59999999999945</v>
      </c>
      <c r="U12" s="190">
        <v>6538.3827309243443</v>
      </c>
    </row>
    <row r="13" spans="1:21" x14ac:dyDescent="0.25">
      <c r="A13" s="345"/>
      <c r="B13" s="346"/>
      <c r="C13" s="347"/>
      <c r="D13" s="191" t="s">
        <v>109</v>
      </c>
      <c r="E13" s="190">
        <v>0</v>
      </c>
      <c r="F13" s="157" t="s">
        <v>110</v>
      </c>
      <c r="G13" s="153"/>
      <c r="H13" s="192">
        <v>29884.222776822506</v>
      </c>
      <c r="I13" s="192">
        <v>0</v>
      </c>
      <c r="J13" s="192">
        <v>29884.222776822506</v>
      </c>
      <c r="K13" s="153" t="s">
        <v>42</v>
      </c>
      <c r="L13" s="173">
        <v>795.00000000000011</v>
      </c>
      <c r="M13" s="164">
        <v>6399.0722596915984</v>
      </c>
      <c r="N13" s="173">
        <v>874.50000000000023</v>
      </c>
      <c r="O13" s="164">
        <v>6996.3113906132712</v>
      </c>
      <c r="P13" s="173">
        <v>954.00000000000011</v>
      </c>
      <c r="Q13" s="164">
        <v>7593.5505215349467</v>
      </c>
      <c r="R13" s="173">
        <v>715.5</v>
      </c>
      <c r="S13" s="164">
        <v>5801.8331287699239</v>
      </c>
      <c r="T13" s="173">
        <v>636</v>
      </c>
      <c r="U13" s="164">
        <v>5204.5939978482475</v>
      </c>
    </row>
    <row r="14" spans="1:21" ht="15" customHeight="1" x14ac:dyDescent="0.25">
      <c r="A14" s="345"/>
      <c r="B14" s="346"/>
      <c r="C14" s="347"/>
      <c r="D14" s="193" t="s">
        <v>111</v>
      </c>
      <c r="E14" s="164">
        <v>-640</v>
      </c>
      <c r="F14" s="351" t="s">
        <v>181</v>
      </c>
      <c r="G14" s="343"/>
      <c r="H14" s="343"/>
      <c r="I14" s="343"/>
      <c r="J14" s="344"/>
      <c r="K14" s="153" t="s">
        <v>43</v>
      </c>
      <c r="L14" s="173">
        <v>591.99999999999977</v>
      </c>
      <c r="M14" s="164">
        <v>4599.7376900255031</v>
      </c>
      <c r="N14" s="173">
        <v>651.20000000000005</v>
      </c>
      <c r="O14" s="164">
        <v>5046.8893031177822</v>
      </c>
      <c r="P14" s="173">
        <v>710.39999999999986</v>
      </c>
      <c r="Q14" s="164">
        <v>5494.0409162100595</v>
      </c>
      <c r="R14" s="173">
        <v>532.80000000000018</v>
      </c>
      <c r="S14" s="164">
        <v>4152.5860769332239</v>
      </c>
      <c r="T14" s="173">
        <v>473.60000000000019</v>
      </c>
      <c r="U14" s="164">
        <v>3705.4344638409457</v>
      </c>
    </row>
    <row r="15" spans="1:21" x14ac:dyDescent="0.25">
      <c r="A15" s="345"/>
      <c r="B15" s="346"/>
      <c r="C15" s="347"/>
      <c r="D15" s="193" t="s">
        <v>112</v>
      </c>
      <c r="E15" s="194">
        <v>0</v>
      </c>
      <c r="F15" s="345"/>
      <c r="G15" s="346"/>
      <c r="H15" s="346"/>
      <c r="I15" s="346"/>
      <c r="J15" s="347"/>
      <c r="K15" s="153" t="s">
        <v>113</v>
      </c>
      <c r="L15" s="173">
        <v>288.99999999999989</v>
      </c>
      <c r="M15" s="164">
        <v>2287.1608974016131</v>
      </c>
      <c r="N15" s="173">
        <v>317.89999999999992</v>
      </c>
      <c r="O15" s="164">
        <v>2520.9498681430032</v>
      </c>
      <c r="P15" s="173">
        <v>346.80000000000007</v>
      </c>
      <c r="Q15" s="164">
        <v>2754.7388388843938</v>
      </c>
      <c r="R15" s="173">
        <v>260.10000000000002</v>
      </c>
      <c r="S15" s="164">
        <v>2053.3719266602229</v>
      </c>
      <c r="T15" s="173">
        <v>231.19999999999987</v>
      </c>
      <c r="U15" s="164">
        <v>1819.5829559188319</v>
      </c>
    </row>
    <row r="16" spans="1:21" x14ac:dyDescent="0.25">
      <c r="A16" s="348"/>
      <c r="B16" s="349"/>
      <c r="C16" s="350"/>
      <c r="D16" s="195"/>
      <c r="E16" s="196"/>
      <c r="F16" s="348"/>
      <c r="G16" s="349"/>
      <c r="H16" s="349"/>
      <c r="I16" s="349"/>
      <c r="J16" s="350"/>
      <c r="K16" s="153" t="s">
        <v>114</v>
      </c>
      <c r="L16" s="173">
        <v>86</v>
      </c>
      <c r="M16" s="164">
        <v>1003.0545473265865</v>
      </c>
      <c r="N16" s="173">
        <v>94.599999999999966</v>
      </c>
      <c r="O16" s="164">
        <v>1074.1240054408572</v>
      </c>
      <c r="P16" s="173">
        <v>103.20000000000003</v>
      </c>
      <c r="Q16" s="164">
        <v>1145.1934635551274</v>
      </c>
      <c r="R16" s="173">
        <v>77.400000000000048</v>
      </c>
      <c r="S16" s="164">
        <v>931.98508921231576</v>
      </c>
      <c r="T16" s="173">
        <v>68.799999999999983</v>
      </c>
      <c r="U16" s="164">
        <v>860.9156310980452</v>
      </c>
    </row>
    <row r="17" spans="1:21" x14ac:dyDescent="0.25">
      <c r="A17" s="197"/>
      <c r="B17" s="9"/>
      <c r="C17" s="9"/>
      <c r="D17" s="9"/>
      <c r="E17" s="198"/>
      <c r="F17" s="199"/>
      <c r="G17" s="9"/>
      <c r="H17" s="9"/>
      <c r="I17" s="9"/>
      <c r="J17" s="200"/>
      <c r="K17" s="153" t="s">
        <v>115</v>
      </c>
      <c r="L17" s="173">
        <v>6.0000000000000027</v>
      </c>
      <c r="M17" s="164">
        <v>705.13456385633788</v>
      </c>
      <c r="N17" s="173">
        <v>6.6000000000000192</v>
      </c>
      <c r="O17" s="164">
        <v>710.45570764669742</v>
      </c>
      <c r="P17" s="173">
        <v>7.2000000000000126</v>
      </c>
      <c r="Q17" s="164">
        <v>715.77685143705662</v>
      </c>
      <c r="R17" s="173">
        <v>5.4000000000000092</v>
      </c>
      <c r="S17" s="164">
        <v>699.81342006597856</v>
      </c>
      <c r="T17" s="173">
        <v>4.8000000000000096</v>
      </c>
      <c r="U17" s="164">
        <v>694.49227627561879</v>
      </c>
    </row>
    <row r="18" spans="1:21" ht="15.75" x14ac:dyDescent="0.25">
      <c r="A18" s="352" t="s">
        <v>116</v>
      </c>
      <c r="B18" s="353"/>
      <c r="C18" s="353"/>
      <c r="D18" s="353"/>
      <c r="E18" s="353"/>
      <c r="F18" s="353"/>
      <c r="G18" s="353"/>
      <c r="H18" s="353"/>
      <c r="I18" s="353"/>
      <c r="J18" s="354"/>
      <c r="K18" s="153" t="s">
        <v>117</v>
      </c>
      <c r="L18" s="173">
        <v>0</v>
      </c>
      <c r="M18" s="164">
        <v>693.77907520249653</v>
      </c>
      <c r="N18" s="173">
        <v>0</v>
      </c>
      <c r="O18" s="164">
        <v>693.83052963661714</v>
      </c>
      <c r="P18" s="173">
        <v>0</v>
      </c>
      <c r="Q18" s="164">
        <v>693.88198407073742</v>
      </c>
      <c r="R18" s="173">
        <v>0</v>
      </c>
      <c r="S18" s="164">
        <v>693.7276207683758</v>
      </c>
      <c r="T18" s="173">
        <v>0</v>
      </c>
      <c r="U18" s="164">
        <v>693.67616633425519</v>
      </c>
    </row>
    <row r="19" spans="1:21" x14ac:dyDescent="0.25">
      <c r="A19" s="152" t="s">
        <v>118</v>
      </c>
      <c r="B19" s="331" t="s">
        <v>119</v>
      </c>
      <c r="C19" s="332"/>
      <c r="D19" s="333"/>
      <c r="E19" s="152" t="s">
        <v>120</v>
      </c>
      <c r="F19" s="331" t="s">
        <v>121</v>
      </c>
      <c r="G19" s="334"/>
      <c r="H19" s="335"/>
      <c r="I19" s="335"/>
      <c r="J19" s="336"/>
      <c r="K19" s="153" t="s">
        <v>122</v>
      </c>
      <c r="L19" s="173">
        <v>0.99999999999999922</v>
      </c>
      <c r="M19" s="164">
        <v>823.81253003012387</v>
      </c>
      <c r="N19" s="173">
        <v>1.1000000000000001</v>
      </c>
      <c r="O19" s="164">
        <v>824.5896802911069</v>
      </c>
      <c r="P19" s="173">
        <v>1.1999999999999988</v>
      </c>
      <c r="Q19" s="164">
        <v>825.36683055209016</v>
      </c>
      <c r="R19" s="173">
        <v>0.8999999999999998</v>
      </c>
      <c r="S19" s="164">
        <v>823.03537976914095</v>
      </c>
      <c r="T19" s="173">
        <v>0.79999999999999949</v>
      </c>
      <c r="U19" s="164">
        <v>822.25822950815768</v>
      </c>
    </row>
    <row r="20" spans="1:21" x14ac:dyDescent="0.25">
      <c r="A20" s="201"/>
      <c r="B20" s="202"/>
      <c r="C20" s="203"/>
      <c r="D20" s="204"/>
      <c r="E20" s="164"/>
      <c r="F20" s="205" t="s">
        <v>182</v>
      </c>
      <c r="G20" s="205"/>
      <c r="H20" s="205"/>
      <c r="I20" s="205"/>
      <c r="J20" s="206"/>
      <c r="K20" s="153" t="s">
        <v>125</v>
      </c>
      <c r="L20" s="173">
        <v>46</v>
      </c>
      <c r="M20" s="164">
        <v>1845.5456279135133</v>
      </c>
      <c r="N20" s="173">
        <v>50.599999999999994</v>
      </c>
      <c r="O20" s="164">
        <v>1879.9887551280217</v>
      </c>
      <c r="P20" s="173">
        <v>55.199999999999989</v>
      </c>
      <c r="Q20" s="164">
        <v>1914.4318823425292</v>
      </c>
      <c r="R20" s="173">
        <v>41.400000000000006</v>
      </c>
      <c r="S20" s="164">
        <v>1811.1025006990053</v>
      </c>
      <c r="T20" s="173">
        <v>36.799999999999997</v>
      </c>
      <c r="U20" s="164">
        <v>1776.6593734844973</v>
      </c>
    </row>
    <row r="21" spans="1:21" x14ac:dyDescent="0.25">
      <c r="A21" s="207"/>
      <c r="B21" s="208"/>
      <c r="C21" s="209"/>
      <c r="D21" s="210"/>
      <c r="E21" s="164"/>
      <c r="F21" s="205"/>
      <c r="G21" s="205"/>
      <c r="H21" s="205"/>
      <c r="I21" s="205"/>
      <c r="J21" s="206"/>
      <c r="K21" s="153" t="s">
        <v>127</v>
      </c>
      <c r="L21" s="173">
        <v>256</v>
      </c>
      <c r="M21" s="164">
        <v>2150.9795992471973</v>
      </c>
      <c r="N21" s="173">
        <v>281.60000000000002</v>
      </c>
      <c r="O21" s="164">
        <v>2350.1661174286669</v>
      </c>
      <c r="P21" s="173">
        <v>307.20000000000005</v>
      </c>
      <c r="Q21" s="164">
        <v>2549.3526356101361</v>
      </c>
      <c r="R21" s="173">
        <v>230.39999999999998</v>
      </c>
      <c r="S21" s="164">
        <v>1951.7930810657283</v>
      </c>
      <c r="T21" s="173">
        <v>204.8</v>
      </c>
      <c r="U21" s="164">
        <v>1752.6065628842589</v>
      </c>
    </row>
    <row r="22" spans="1:21" x14ac:dyDescent="0.25">
      <c r="A22" s="207"/>
      <c r="B22" s="208"/>
      <c r="C22" s="209"/>
      <c r="D22" s="210"/>
      <c r="E22" s="164"/>
      <c r="F22" s="205"/>
      <c r="G22" s="205"/>
      <c r="H22" s="205"/>
      <c r="I22" s="205"/>
      <c r="J22" s="206"/>
      <c r="K22" s="153" t="s">
        <v>39</v>
      </c>
      <c r="L22" s="173">
        <v>558</v>
      </c>
      <c r="M22" s="164">
        <v>4000.7298047877562</v>
      </c>
      <c r="N22" s="173">
        <v>613.80000000000007</v>
      </c>
      <c r="O22" s="164">
        <v>4412.2985045429805</v>
      </c>
      <c r="P22" s="173">
        <v>669.60000000000014</v>
      </c>
      <c r="Q22" s="164">
        <v>4823.8672042982043</v>
      </c>
      <c r="R22" s="173">
        <v>502.20000000000005</v>
      </c>
      <c r="S22" s="164">
        <v>3589.1611050325314</v>
      </c>
      <c r="T22" s="173">
        <v>446.40000000000015</v>
      </c>
      <c r="U22" s="164">
        <v>3177.5924052773071</v>
      </c>
    </row>
    <row r="23" spans="1:21" x14ac:dyDescent="0.25">
      <c r="A23" s="207"/>
      <c r="B23" s="208"/>
      <c r="C23" s="209"/>
      <c r="D23" s="210"/>
      <c r="E23" s="164"/>
      <c r="F23" s="205"/>
      <c r="G23" s="205"/>
      <c r="H23" s="205"/>
      <c r="I23" s="205"/>
      <c r="J23" s="206"/>
      <c r="K23" s="153" t="s">
        <v>40</v>
      </c>
      <c r="L23" s="173">
        <v>911.00000000000068</v>
      </c>
      <c r="M23" s="164">
        <v>6842.3160972117839</v>
      </c>
      <c r="N23" s="173">
        <v>1002.1000000000003</v>
      </c>
      <c r="O23" s="164">
        <v>7518.6765690217653</v>
      </c>
      <c r="P23" s="173">
        <v>1093.1999999999998</v>
      </c>
      <c r="Q23" s="164">
        <v>8195.0370408317485</v>
      </c>
      <c r="R23" s="173">
        <v>819.89999999999941</v>
      </c>
      <c r="S23" s="164">
        <v>6165.9556254018044</v>
      </c>
      <c r="T23" s="173">
        <v>728.79999999999984</v>
      </c>
      <c r="U23" s="164">
        <v>5489.595153591823</v>
      </c>
    </row>
    <row r="24" spans="1:21" x14ac:dyDescent="0.25">
      <c r="A24" s="207"/>
      <c r="B24" s="208"/>
      <c r="C24" s="209"/>
      <c r="D24" s="210"/>
      <c r="E24" s="164"/>
      <c r="F24" s="205"/>
      <c r="G24" s="205"/>
      <c r="H24" s="205"/>
      <c r="I24" s="205"/>
      <c r="J24" s="206"/>
      <c r="K24" s="211" t="s">
        <v>128</v>
      </c>
      <c r="L24" s="212">
        <v>4547.0000000000018</v>
      </c>
      <c r="M24" s="212">
        <v>39393.689617800374</v>
      </c>
      <c r="N24" s="212">
        <v>5001.7000000000007</v>
      </c>
      <c r="O24" s="212">
        <v>42822.63945320739</v>
      </c>
      <c r="P24" s="212">
        <v>5456.4</v>
      </c>
      <c r="Q24" s="212">
        <v>46251.589288614414</v>
      </c>
      <c r="R24" s="212">
        <v>4092.3</v>
      </c>
      <c r="S24" s="212">
        <v>35964.73978239335</v>
      </c>
      <c r="T24" s="212">
        <v>3637.6000000000004</v>
      </c>
      <c r="U24" s="212">
        <v>32535.789946986333</v>
      </c>
    </row>
    <row r="25" spans="1:21" x14ac:dyDescent="0.25">
      <c r="A25" s="207"/>
      <c r="B25" s="208"/>
      <c r="C25" s="209"/>
      <c r="D25" s="210"/>
      <c r="E25" s="164"/>
      <c r="F25" s="205"/>
      <c r="G25" s="205"/>
      <c r="H25" s="205"/>
      <c r="I25" s="205"/>
      <c r="J25" s="206"/>
      <c r="K25" s="211" t="s">
        <v>129</v>
      </c>
      <c r="L25" s="212">
        <v>3863.0000000000018</v>
      </c>
      <c r="M25" s="212">
        <v>29884.222776822506</v>
      </c>
      <c r="N25" s="212">
        <v>4249.3000000000011</v>
      </c>
      <c r="O25" s="212">
        <v>32768.53478949242</v>
      </c>
      <c r="P25" s="212">
        <v>4635.6000000000004</v>
      </c>
      <c r="Q25" s="212">
        <v>35652.846802162341</v>
      </c>
      <c r="R25" s="212">
        <v>3476.7</v>
      </c>
      <c r="S25" s="212">
        <v>26999.910764152584</v>
      </c>
      <c r="T25" s="212">
        <v>3090.3999999999996</v>
      </c>
      <c r="U25" s="212">
        <v>24115.59875148267</v>
      </c>
    </row>
    <row r="26" spans="1:21" x14ac:dyDescent="0.25">
      <c r="A26" s="207"/>
      <c r="B26" s="208"/>
      <c r="C26" s="209"/>
      <c r="D26" s="210"/>
      <c r="E26" s="164"/>
      <c r="F26" s="205"/>
      <c r="G26" s="205"/>
      <c r="H26" s="205"/>
      <c r="I26" s="205"/>
      <c r="J26" s="206"/>
      <c r="K26" s="213"/>
      <c r="L26" s="214"/>
      <c r="M26" s="214"/>
      <c r="N26" s="214"/>
      <c r="O26" s="214"/>
      <c r="P26" s="214"/>
      <c r="Q26" s="214"/>
      <c r="R26" s="214"/>
      <c r="S26" s="214"/>
      <c r="T26" s="214"/>
      <c r="U26" s="215"/>
    </row>
    <row r="27" spans="1:21" ht="15.75" x14ac:dyDescent="0.25">
      <c r="A27" s="207"/>
      <c r="B27" s="208"/>
      <c r="C27" s="209"/>
      <c r="D27" s="210"/>
      <c r="E27" s="164"/>
      <c r="F27" s="205"/>
      <c r="G27" s="205"/>
      <c r="H27" s="205"/>
      <c r="I27" s="205"/>
      <c r="J27" s="206"/>
      <c r="K27" s="339" t="s">
        <v>130</v>
      </c>
      <c r="L27" s="340"/>
      <c r="M27" s="340"/>
      <c r="N27" s="340"/>
      <c r="O27" s="340"/>
      <c r="P27" s="340"/>
      <c r="Q27" s="340"/>
      <c r="R27" s="340"/>
      <c r="S27" s="340"/>
      <c r="T27" s="340"/>
      <c r="U27" s="341"/>
    </row>
    <row r="28" spans="1:21" x14ac:dyDescent="0.25">
      <c r="A28" s="207"/>
      <c r="B28" s="208"/>
      <c r="C28" s="209"/>
      <c r="D28" s="210"/>
      <c r="E28" s="164"/>
      <c r="F28" s="205"/>
      <c r="G28" s="205"/>
      <c r="H28" s="205"/>
      <c r="I28" s="205"/>
      <c r="J28" s="206"/>
      <c r="K28" s="181"/>
      <c r="L28" s="182" t="s">
        <v>95</v>
      </c>
      <c r="M28" s="183"/>
      <c r="N28" s="182" t="s">
        <v>96</v>
      </c>
      <c r="O28" s="183"/>
      <c r="P28" s="182" t="s">
        <v>97</v>
      </c>
      <c r="Q28" s="183"/>
      <c r="R28" s="182" t="s">
        <v>98</v>
      </c>
      <c r="S28" s="183"/>
      <c r="T28" s="182" t="s">
        <v>99</v>
      </c>
      <c r="U28" s="184"/>
    </row>
    <row r="29" spans="1:21" x14ac:dyDescent="0.25">
      <c r="A29" s="207"/>
      <c r="B29" s="208"/>
      <c r="C29" s="209"/>
      <c r="D29" s="210"/>
      <c r="E29" s="164"/>
      <c r="F29" s="205"/>
      <c r="G29" s="205"/>
      <c r="H29" s="205"/>
      <c r="I29" s="205"/>
      <c r="J29" s="206"/>
      <c r="K29" s="187" t="s">
        <v>105</v>
      </c>
      <c r="L29" s="151" t="s">
        <v>106</v>
      </c>
      <c r="M29" s="151" t="s">
        <v>38</v>
      </c>
      <c r="N29" s="151" t="s">
        <v>106</v>
      </c>
      <c r="O29" s="151" t="s">
        <v>38</v>
      </c>
      <c r="P29" s="151" t="s">
        <v>106</v>
      </c>
      <c r="Q29" s="151" t="s">
        <v>38</v>
      </c>
      <c r="R29" s="151" t="s">
        <v>106</v>
      </c>
      <c r="S29" s="151" t="s">
        <v>38</v>
      </c>
      <c r="T29" s="151" t="s">
        <v>106</v>
      </c>
      <c r="U29" s="151" t="s">
        <v>38</v>
      </c>
    </row>
    <row r="30" spans="1:21" x14ac:dyDescent="0.25">
      <c r="A30" s="216"/>
      <c r="B30" s="217"/>
      <c r="C30" s="218"/>
      <c r="D30" s="219"/>
      <c r="E30" s="220"/>
      <c r="F30" s="205"/>
      <c r="G30" s="205"/>
      <c r="H30" s="205"/>
      <c r="I30" s="205"/>
      <c r="J30" s="206"/>
      <c r="K30" s="153" t="s">
        <v>41</v>
      </c>
      <c r="L30" s="189">
        <v>1007.0000000000007</v>
      </c>
      <c r="M30" s="190">
        <v>0</v>
      </c>
      <c r="N30" s="189">
        <v>1107.7000000000003</v>
      </c>
      <c r="O30" s="190">
        <v>0</v>
      </c>
      <c r="P30" s="189">
        <v>1208.3999999999999</v>
      </c>
      <c r="Q30" s="190">
        <v>0</v>
      </c>
      <c r="R30" s="189">
        <v>906.30000000000007</v>
      </c>
      <c r="S30" s="190">
        <v>0</v>
      </c>
      <c r="T30" s="189">
        <v>805.59999999999945</v>
      </c>
      <c r="U30" s="190">
        <v>0</v>
      </c>
    </row>
    <row r="31" spans="1:21" x14ac:dyDescent="0.25">
      <c r="A31" s="221"/>
      <c r="B31" s="222"/>
      <c r="C31" s="222"/>
      <c r="D31" s="222" t="s">
        <v>131</v>
      </c>
      <c r="E31" s="223">
        <v>0</v>
      </c>
      <c r="F31" s="224"/>
      <c r="G31" s="224"/>
      <c r="H31" s="224"/>
      <c r="I31" s="224"/>
      <c r="J31" s="225"/>
      <c r="K31" s="153" t="s">
        <v>42</v>
      </c>
      <c r="L31" s="173">
        <v>795.00000000000011</v>
      </c>
      <c r="M31" s="164">
        <v>0</v>
      </c>
      <c r="N31" s="173">
        <v>874.50000000000023</v>
      </c>
      <c r="O31" s="164">
        <v>0</v>
      </c>
      <c r="P31" s="173">
        <v>954.00000000000011</v>
      </c>
      <c r="Q31" s="164">
        <v>0</v>
      </c>
      <c r="R31" s="173">
        <v>715.5</v>
      </c>
      <c r="S31" s="164">
        <v>0</v>
      </c>
      <c r="T31" s="173">
        <v>636</v>
      </c>
      <c r="U31" s="164">
        <v>0</v>
      </c>
    </row>
    <row r="32" spans="1:21" x14ac:dyDescent="0.25">
      <c r="A32" s="226"/>
      <c r="B32" s="227"/>
      <c r="C32" s="227"/>
      <c r="D32" s="228"/>
      <c r="E32" s="229"/>
      <c r="F32" s="230"/>
      <c r="G32" s="230"/>
      <c r="H32" s="230"/>
      <c r="I32" s="230"/>
      <c r="J32" s="231"/>
      <c r="K32" s="153" t="s">
        <v>43</v>
      </c>
      <c r="L32" s="173">
        <v>591.99999999999977</v>
      </c>
      <c r="M32" s="164">
        <v>0</v>
      </c>
      <c r="N32" s="173">
        <v>651.20000000000005</v>
      </c>
      <c r="O32" s="164">
        <v>0</v>
      </c>
      <c r="P32" s="173">
        <v>710.39999999999986</v>
      </c>
      <c r="Q32" s="164">
        <v>0</v>
      </c>
      <c r="R32" s="173">
        <v>532.80000000000018</v>
      </c>
      <c r="S32" s="164">
        <v>0</v>
      </c>
      <c r="T32" s="173">
        <v>473.60000000000019</v>
      </c>
      <c r="U32" s="164">
        <v>0</v>
      </c>
    </row>
    <row r="33" spans="1:21" ht="15.75" x14ac:dyDescent="0.25">
      <c r="A33" s="352" t="s">
        <v>132</v>
      </c>
      <c r="B33" s="353"/>
      <c r="C33" s="353"/>
      <c r="D33" s="353"/>
      <c r="E33" s="353"/>
      <c r="F33" s="353"/>
      <c r="G33" s="353"/>
      <c r="H33" s="353"/>
      <c r="I33" s="353"/>
      <c r="J33" s="354"/>
      <c r="K33" s="153" t="s">
        <v>113</v>
      </c>
      <c r="L33" s="173">
        <v>288.99999999999989</v>
      </c>
      <c r="M33" s="164">
        <v>0</v>
      </c>
      <c r="N33" s="173">
        <v>317.89999999999992</v>
      </c>
      <c r="O33" s="164">
        <v>0</v>
      </c>
      <c r="P33" s="173">
        <v>346.80000000000007</v>
      </c>
      <c r="Q33" s="164">
        <v>0</v>
      </c>
      <c r="R33" s="173">
        <v>260.10000000000002</v>
      </c>
      <c r="S33" s="164">
        <v>0</v>
      </c>
      <c r="T33" s="173">
        <v>231.19999999999987</v>
      </c>
      <c r="U33" s="164">
        <v>0</v>
      </c>
    </row>
    <row r="34" spans="1:21" x14ac:dyDescent="0.25">
      <c r="A34" s="152" t="s">
        <v>118</v>
      </c>
      <c r="B34" s="331" t="s">
        <v>119</v>
      </c>
      <c r="C34" s="332"/>
      <c r="D34" s="333"/>
      <c r="E34" s="152" t="s">
        <v>120</v>
      </c>
      <c r="F34" s="331" t="s">
        <v>121</v>
      </c>
      <c r="G34" s="334"/>
      <c r="H34" s="335"/>
      <c r="I34" s="335"/>
      <c r="J34" s="336"/>
      <c r="K34" s="153" t="s">
        <v>114</v>
      </c>
      <c r="L34" s="173">
        <v>86</v>
      </c>
      <c r="M34" s="164">
        <v>0</v>
      </c>
      <c r="N34" s="173">
        <v>94.599999999999966</v>
      </c>
      <c r="O34" s="164">
        <v>0</v>
      </c>
      <c r="P34" s="173">
        <v>103.20000000000003</v>
      </c>
      <c r="Q34" s="164">
        <v>0</v>
      </c>
      <c r="R34" s="173">
        <v>77.400000000000048</v>
      </c>
      <c r="S34" s="164">
        <v>0</v>
      </c>
      <c r="T34" s="173">
        <v>68.799999999999983</v>
      </c>
      <c r="U34" s="164">
        <v>0</v>
      </c>
    </row>
    <row r="35" spans="1:21" x14ac:dyDescent="0.25">
      <c r="A35" s="201"/>
      <c r="B35" s="202"/>
      <c r="C35" s="203"/>
      <c r="D35" s="232"/>
      <c r="E35" s="190"/>
      <c r="F35" s="233"/>
      <c r="G35" s="233"/>
      <c r="H35" s="233"/>
      <c r="I35" s="233"/>
      <c r="J35" s="234"/>
      <c r="K35" s="153" t="s">
        <v>115</v>
      </c>
      <c r="L35" s="173">
        <v>6.0000000000000027</v>
      </c>
      <c r="M35" s="164">
        <v>0</v>
      </c>
      <c r="N35" s="173">
        <v>6.6000000000000192</v>
      </c>
      <c r="O35" s="164">
        <v>0</v>
      </c>
      <c r="P35" s="173">
        <v>7.2000000000000126</v>
      </c>
      <c r="Q35" s="164">
        <v>0</v>
      </c>
      <c r="R35" s="173">
        <v>5.4000000000000092</v>
      </c>
      <c r="S35" s="164">
        <v>0</v>
      </c>
      <c r="T35" s="173">
        <v>4.8000000000000096</v>
      </c>
      <c r="U35" s="164">
        <v>0</v>
      </c>
    </row>
    <row r="36" spans="1:21" x14ac:dyDescent="0.25">
      <c r="A36" s="207"/>
      <c r="B36" s="208"/>
      <c r="C36" s="209"/>
      <c r="D36" s="235"/>
      <c r="E36" s="164"/>
      <c r="F36" s="205"/>
      <c r="G36" s="205"/>
      <c r="H36" s="205"/>
      <c r="I36" s="205"/>
      <c r="J36" s="206"/>
      <c r="K36" s="153" t="s">
        <v>117</v>
      </c>
      <c r="L36" s="173">
        <v>0</v>
      </c>
      <c r="M36" s="164">
        <v>0</v>
      </c>
      <c r="N36" s="173">
        <v>0</v>
      </c>
      <c r="O36" s="164">
        <v>0</v>
      </c>
      <c r="P36" s="173">
        <v>0</v>
      </c>
      <c r="Q36" s="164">
        <v>0</v>
      </c>
      <c r="R36" s="173">
        <v>0</v>
      </c>
      <c r="S36" s="164">
        <v>0</v>
      </c>
      <c r="T36" s="173">
        <v>0</v>
      </c>
      <c r="U36" s="164">
        <v>0</v>
      </c>
    </row>
    <row r="37" spans="1:21" x14ac:dyDescent="0.25">
      <c r="A37" s="207"/>
      <c r="B37" s="208"/>
      <c r="C37" s="209"/>
      <c r="D37" s="235"/>
      <c r="E37" s="164"/>
      <c r="F37" s="205"/>
      <c r="G37" s="205"/>
      <c r="H37" s="205"/>
      <c r="I37" s="205"/>
      <c r="J37" s="206"/>
      <c r="K37" s="153" t="s">
        <v>122</v>
      </c>
      <c r="L37" s="173">
        <v>0.99999999999999922</v>
      </c>
      <c r="M37" s="164">
        <v>0</v>
      </c>
      <c r="N37" s="173">
        <v>1.1000000000000001</v>
      </c>
      <c r="O37" s="164">
        <v>0</v>
      </c>
      <c r="P37" s="173">
        <v>1.1999999999999988</v>
      </c>
      <c r="Q37" s="164">
        <v>0</v>
      </c>
      <c r="R37" s="173">
        <v>0.8999999999999998</v>
      </c>
      <c r="S37" s="164">
        <v>0</v>
      </c>
      <c r="T37" s="173">
        <v>0.79999999999999949</v>
      </c>
      <c r="U37" s="164">
        <v>0</v>
      </c>
    </row>
    <row r="38" spans="1:21" x14ac:dyDescent="0.25">
      <c r="A38" s="207"/>
      <c r="B38" s="208"/>
      <c r="C38" s="209"/>
      <c r="D38" s="235"/>
      <c r="E38" s="164"/>
      <c r="F38" s="205"/>
      <c r="G38" s="205"/>
      <c r="H38" s="205"/>
      <c r="I38" s="205"/>
      <c r="J38" s="206"/>
      <c r="K38" s="153" t="s">
        <v>125</v>
      </c>
      <c r="L38" s="173">
        <v>46</v>
      </c>
      <c r="M38" s="164">
        <v>0</v>
      </c>
      <c r="N38" s="173">
        <v>50.599999999999994</v>
      </c>
      <c r="O38" s="164">
        <v>0</v>
      </c>
      <c r="P38" s="173">
        <v>55.199999999999989</v>
      </c>
      <c r="Q38" s="164">
        <v>0</v>
      </c>
      <c r="R38" s="173">
        <v>41.400000000000006</v>
      </c>
      <c r="S38" s="164">
        <v>0</v>
      </c>
      <c r="T38" s="173">
        <v>36.799999999999997</v>
      </c>
      <c r="U38" s="164">
        <v>0</v>
      </c>
    </row>
    <row r="39" spans="1:21" x14ac:dyDescent="0.25">
      <c r="A39" s="207"/>
      <c r="B39" s="208"/>
      <c r="C39" s="209"/>
      <c r="D39" s="235"/>
      <c r="E39" s="164"/>
      <c r="F39" s="205"/>
      <c r="G39" s="205"/>
      <c r="H39" s="205"/>
      <c r="I39" s="205"/>
      <c r="J39" s="206"/>
      <c r="K39" s="153" t="s">
        <v>127</v>
      </c>
      <c r="L39" s="173">
        <v>256</v>
      </c>
      <c r="M39" s="164">
        <v>0</v>
      </c>
      <c r="N39" s="173">
        <v>281.60000000000002</v>
      </c>
      <c r="O39" s="164">
        <v>0</v>
      </c>
      <c r="P39" s="173">
        <v>307.20000000000005</v>
      </c>
      <c r="Q39" s="164">
        <v>0</v>
      </c>
      <c r="R39" s="173">
        <v>230.39999999999998</v>
      </c>
      <c r="S39" s="164">
        <v>0</v>
      </c>
      <c r="T39" s="173">
        <v>204.8</v>
      </c>
      <c r="U39" s="164">
        <v>0</v>
      </c>
    </row>
    <row r="40" spans="1:21" x14ac:dyDescent="0.25">
      <c r="A40" s="207"/>
      <c r="B40" s="208"/>
      <c r="C40" s="209"/>
      <c r="D40" s="235"/>
      <c r="E40" s="164"/>
      <c r="F40" s="205"/>
      <c r="G40" s="205"/>
      <c r="H40" s="205"/>
      <c r="I40" s="205"/>
      <c r="J40" s="206"/>
      <c r="K40" s="153" t="s">
        <v>39</v>
      </c>
      <c r="L40" s="173">
        <v>558</v>
      </c>
      <c r="M40" s="164">
        <v>0</v>
      </c>
      <c r="N40" s="173">
        <v>613.80000000000007</v>
      </c>
      <c r="O40" s="164">
        <v>0</v>
      </c>
      <c r="P40" s="173">
        <v>669.60000000000014</v>
      </c>
      <c r="Q40" s="164">
        <v>0</v>
      </c>
      <c r="R40" s="173">
        <v>502.20000000000005</v>
      </c>
      <c r="S40" s="164">
        <v>0</v>
      </c>
      <c r="T40" s="173">
        <v>446.40000000000015</v>
      </c>
      <c r="U40" s="164">
        <v>0</v>
      </c>
    </row>
    <row r="41" spans="1:21" x14ac:dyDescent="0.25">
      <c r="A41" s="207"/>
      <c r="B41" s="208"/>
      <c r="C41" s="209"/>
      <c r="D41" s="235"/>
      <c r="E41" s="164"/>
      <c r="F41" s="205"/>
      <c r="G41" s="205"/>
      <c r="H41" s="205"/>
      <c r="I41" s="205"/>
      <c r="J41" s="206"/>
      <c r="K41" s="153" t="s">
        <v>40</v>
      </c>
      <c r="L41" s="173">
        <v>911.00000000000068</v>
      </c>
      <c r="M41" s="164">
        <v>0</v>
      </c>
      <c r="N41" s="173">
        <v>1002.1000000000003</v>
      </c>
      <c r="O41" s="164">
        <v>0</v>
      </c>
      <c r="P41" s="173">
        <v>1093.1999999999998</v>
      </c>
      <c r="Q41" s="164">
        <v>0</v>
      </c>
      <c r="R41" s="173">
        <v>819.89999999999941</v>
      </c>
      <c r="S41" s="164">
        <v>0</v>
      </c>
      <c r="T41" s="173">
        <v>728.79999999999984</v>
      </c>
      <c r="U41" s="164">
        <v>0</v>
      </c>
    </row>
    <row r="42" spans="1:21" x14ac:dyDescent="0.25">
      <c r="A42" s="207"/>
      <c r="B42" s="208"/>
      <c r="C42" s="209"/>
      <c r="D42" s="235"/>
      <c r="E42" s="164"/>
      <c r="F42" s="205"/>
      <c r="G42" s="205"/>
      <c r="H42" s="205"/>
      <c r="I42" s="205"/>
      <c r="J42" s="206"/>
      <c r="K42" s="211" t="s">
        <v>133</v>
      </c>
      <c r="L42" s="212">
        <v>4547.0000000000018</v>
      </c>
      <c r="M42" s="212">
        <v>0</v>
      </c>
      <c r="N42" s="212">
        <v>5001.7000000000007</v>
      </c>
      <c r="O42" s="212">
        <v>0</v>
      </c>
      <c r="P42" s="212">
        <v>5456.4</v>
      </c>
      <c r="Q42" s="212">
        <v>0</v>
      </c>
      <c r="R42" s="212">
        <v>4092.3</v>
      </c>
      <c r="S42" s="212">
        <v>0</v>
      </c>
      <c r="T42" s="212">
        <v>3637.6000000000004</v>
      </c>
      <c r="U42" s="212">
        <v>0</v>
      </c>
    </row>
    <row r="43" spans="1:21" x14ac:dyDescent="0.25">
      <c r="A43" s="207"/>
      <c r="B43" s="208"/>
      <c r="C43" s="209"/>
      <c r="D43" s="235"/>
      <c r="E43" s="164"/>
      <c r="F43" s="205"/>
      <c r="G43" s="205"/>
      <c r="H43" s="205"/>
      <c r="I43" s="205"/>
      <c r="J43" s="206"/>
      <c r="K43" s="211" t="s">
        <v>134</v>
      </c>
      <c r="L43" s="212">
        <v>3863.0000000000018</v>
      </c>
      <c r="M43" s="212">
        <v>0</v>
      </c>
      <c r="N43" s="212">
        <v>4249.3000000000011</v>
      </c>
      <c r="O43" s="212">
        <v>0</v>
      </c>
      <c r="P43" s="212">
        <v>4635.6000000000004</v>
      </c>
      <c r="Q43" s="212">
        <v>0</v>
      </c>
      <c r="R43" s="212">
        <v>3476.7</v>
      </c>
      <c r="S43" s="212">
        <v>0</v>
      </c>
      <c r="T43" s="212">
        <v>3090.3999999999996</v>
      </c>
      <c r="U43" s="212">
        <v>0</v>
      </c>
    </row>
    <row r="44" spans="1:21" x14ac:dyDescent="0.25">
      <c r="A44" s="207"/>
      <c r="B44" s="217"/>
      <c r="C44" s="218"/>
      <c r="D44" s="236"/>
      <c r="E44" s="220"/>
      <c r="F44" s="205"/>
      <c r="G44" s="205"/>
      <c r="H44" s="205"/>
      <c r="I44" s="205"/>
      <c r="J44" s="206"/>
      <c r="K44" s="211" t="s">
        <v>135</v>
      </c>
      <c r="L44" s="212">
        <v>4547.0000000000018</v>
      </c>
      <c r="M44" s="212">
        <v>39393.689617800374</v>
      </c>
      <c r="N44" s="212">
        <v>5001.7000000000007</v>
      </c>
      <c r="O44" s="212">
        <v>42822.63945320739</v>
      </c>
      <c r="P44" s="212">
        <v>5456.4</v>
      </c>
      <c r="Q44" s="212">
        <v>46251.589288614414</v>
      </c>
      <c r="R44" s="212">
        <v>4092.3</v>
      </c>
      <c r="S44" s="212">
        <v>35964.73978239335</v>
      </c>
      <c r="T44" s="212">
        <v>3637.6000000000004</v>
      </c>
      <c r="U44" s="212">
        <v>32535.789946986333</v>
      </c>
    </row>
    <row r="45" spans="1:21" x14ac:dyDescent="0.25">
      <c r="A45" s="221"/>
      <c r="B45" s="222"/>
      <c r="C45" s="222"/>
      <c r="D45" s="222" t="s">
        <v>136</v>
      </c>
      <c r="E45" s="223">
        <v>0</v>
      </c>
      <c r="F45" s="224"/>
      <c r="G45" s="224"/>
      <c r="H45" s="224"/>
      <c r="I45" s="224"/>
      <c r="J45" s="225"/>
      <c r="K45" s="211" t="s">
        <v>137</v>
      </c>
      <c r="L45" s="212">
        <v>3863.0000000000018</v>
      </c>
      <c r="M45" s="212">
        <v>29884.222776822506</v>
      </c>
      <c r="N45" s="212">
        <v>4249.3000000000011</v>
      </c>
      <c r="O45" s="212">
        <v>32768.53478949242</v>
      </c>
      <c r="P45" s="212">
        <v>4635.6000000000004</v>
      </c>
      <c r="Q45" s="212">
        <v>35652.846802162341</v>
      </c>
      <c r="R45" s="212">
        <v>3476.7</v>
      </c>
      <c r="S45" s="212">
        <v>26999.910764152584</v>
      </c>
      <c r="T45" s="212">
        <v>3090.3999999999996</v>
      </c>
      <c r="U45" s="212">
        <v>24115.59875148267</v>
      </c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phoneticPr fontId="13" type="noConversion"/>
  <conditionalFormatting sqref="J9">
    <cfRule type="cellIs" dxfId="15" priority="4" stopIfTrue="1" operator="greaterThanOrEqual">
      <formula>#REF!</formula>
    </cfRule>
  </conditionalFormatting>
  <conditionalFormatting sqref="J10">
    <cfRule type="cellIs" dxfId="14" priority="3" stopIfTrue="1" operator="greaterThanOrEqual">
      <formula>#REF!</formula>
    </cfRule>
  </conditionalFormatting>
  <conditionalFormatting sqref="H9">
    <cfRule type="cellIs" dxfId="13" priority="2" stopIfTrue="1" operator="greaterThanOrEqual">
      <formula>#REF!</formula>
    </cfRule>
  </conditionalFormatting>
  <conditionalFormatting sqref="F4:J4">
    <cfRule type="containsText" dxfId="12" priority="1" stopIfTrue="1" operator="containsText" text="PEAK DAY">
      <formula>NOT(ISERROR(SEARCH("PEAK DAY",F4)))</formula>
    </cfRule>
  </conditionalFormatting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D1" zoomScale="75" zoomScaleNormal="75" workbookViewId="0">
      <selection sqref="A1:IV65536"/>
    </sheetView>
  </sheetViews>
  <sheetFormatPr defaultColWidth="9.140625" defaultRowHeight="15" x14ac:dyDescent="0.25"/>
  <cols>
    <col min="1" max="1" width="26.7109375" style="237" customWidth="1"/>
    <col min="2" max="3" width="18.7109375" style="237" customWidth="1"/>
    <col min="4" max="4" width="27.7109375" style="237" customWidth="1"/>
    <col min="5" max="5" width="15.7109375" style="237" customWidth="1"/>
    <col min="6" max="7" width="12.7109375" style="237" customWidth="1"/>
    <col min="8" max="8" width="17.7109375" style="237" customWidth="1"/>
    <col min="9" max="10" width="15.7109375" style="237" customWidth="1"/>
    <col min="11" max="13" width="18.7109375" style="138" customWidth="1"/>
    <col min="14" max="21" width="15.85546875" style="138" customWidth="1"/>
    <col min="22" max="16384" width="9.140625" style="138"/>
  </cols>
  <sheetData>
    <row r="1" spans="1:21" ht="18" x14ac:dyDescent="0.25">
      <c r="A1" s="302" t="s">
        <v>18</v>
      </c>
      <c r="B1" s="303"/>
      <c r="C1" s="303"/>
      <c r="D1" s="303"/>
      <c r="E1" s="303"/>
      <c r="F1" s="303"/>
      <c r="G1" s="303"/>
      <c r="H1" s="303"/>
      <c r="I1" s="303"/>
      <c r="J1" s="304"/>
      <c r="K1" s="302" t="s">
        <v>18</v>
      </c>
      <c r="L1" s="303"/>
      <c r="M1" s="303"/>
      <c r="N1" s="303"/>
      <c r="O1" s="303"/>
      <c r="P1" s="303"/>
      <c r="Q1" s="303"/>
      <c r="R1" s="303"/>
      <c r="S1" s="303"/>
      <c r="T1" s="303"/>
      <c r="U1" s="304"/>
    </row>
    <row r="2" spans="1:21" ht="18" x14ac:dyDescent="0.25">
      <c r="A2" s="305" t="s">
        <v>170</v>
      </c>
      <c r="B2" s="306"/>
      <c r="C2" s="306"/>
      <c r="D2" s="306"/>
      <c r="E2" s="306"/>
      <c r="F2" s="306"/>
      <c r="G2" s="306"/>
      <c r="H2" s="306"/>
      <c r="I2" s="306"/>
      <c r="J2" s="307"/>
      <c r="K2" s="305" t="s">
        <v>171</v>
      </c>
      <c r="L2" s="306"/>
      <c r="M2" s="306"/>
      <c r="N2" s="306"/>
      <c r="O2" s="306"/>
      <c r="P2" s="306"/>
      <c r="Q2" s="306"/>
      <c r="R2" s="306"/>
      <c r="S2" s="306"/>
      <c r="T2" s="306"/>
      <c r="U2" s="307"/>
    </row>
    <row r="3" spans="1:21" x14ac:dyDescent="0.25">
      <c r="A3" s="139"/>
      <c r="B3" s="140"/>
      <c r="C3"/>
      <c r="D3" s="308" t="s">
        <v>190</v>
      </c>
      <c r="E3" s="308"/>
      <c r="F3" s="308"/>
      <c r="G3"/>
      <c r="H3" s="140"/>
      <c r="I3" s="140"/>
      <c r="J3" s="141"/>
      <c r="K3" s="139"/>
      <c r="L3" s="140"/>
      <c r="M3"/>
      <c r="N3" s="308" t="s">
        <v>190</v>
      </c>
      <c r="O3" s="308"/>
      <c r="P3" s="308"/>
      <c r="Q3" s="308"/>
      <c r="R3"/>
      <c r="S3"/>
      <c r="T3" s="140"/>
      <c r="U3" s="141"/>
    </row>
    <row r="4" spans="1:21" x14ac:dyDescent="0.25">
      <c r="A4" s="142"/>
      <c r="B4" s="143"/>
      <c r="C4" s="143"/>
      <c r="D4" s="143"/>
      <c r="E4" s="143"/>
      <c r="F4" s="309" t="s">
        <v>157</v>
      </c>
      <c r="G4" s="309"/>
      <c r="H4" s="309"/>
      <c r="I4" s="309"/>
      <c r="J4" s="310"/>
      <c r="K4" s="144"/>
      <c r="L4" s="145"/>
      <c r="M4" s="145"/>
      <c r="N4" s="145"/>
      <c r="O4" s="145"/>
      <c r="P4" s="145"/>
      <c r="Q4" s="145"/>
      <c r="R4" s="145"/>
      <c r="S4" s="145"/>
      <c r="T4" s="145"/>
      <c r="U4" s="146"/>
    </row>
    <row r="5" spans="1:21" ht="15" customHeight="1" x14ac:dyDescent="0.25">
      <c r="A5" s="147" t="s">
        <v>68</v>
      </c>
      <c r="B5" s="311" t="s">
        <v>66</v>
      </c>
      <c r="C5" s="312"/>
      <c r="D5" s="148" t="s">
        <v>69</v>
      </c>
      <c r="E5" s="149"/>
      <c r="F5" s="148" t="s">
        <v>70</v>
      </c>
      <c r="G5" s="150"/>
      <c r="H5" s="151" t="s">
        <v>71</v>
      </c>
      <c r="I5" s="152" t="s">
        <v>85</v>
      </c>
      <c r="J5" s="152"/>
      <c r="K5" s="147" t="s">
        <v>68</v>
      </c>
      <c r="L5" s="313" t="s">
        <v>66</v>
      </c>
      <c r="M5" s="314"/>
      <c r="N5" s="148" t="s">
        <v>72</v>
      </c>
      <c r="O5" s="150"/>
      <c r="P5" s="315" t="s">
        <v>191</v>
      </c>
      <c r="Q5" s="316"/>
      <c r="R5" s="316"/>
      <c r="S5" s="316"/>
      <c r="T5" s="316"/>
      <c r="U5" s="317"/>
    </row>
    <row r="6" spans="1:21" x14ac:dyDescent="0.25">
      <c r="A6" s="153" t="s">
        <v>73</v>
      </c>
      <c r="B6" s="324" t="s">
        <v>144</v>
      </c>
      <c r="C6" s="325"/>
      <c r="D6" s="154" t="s">
        <v>75</v>
      </c>
      <c r="E6" s="155">
        <v>0.97768819926642003</v>
      </c>
      <c r="F6" s="156" t="s">
        <v>76</v>
      </c>
      <c r="G6" s="157"/>
      <c r="H6" s="158">
        <v>71.5</v>
      </c>
      <c r="I6" s="159">
        <v>32864</v>
      </c>
      <c r="J6" s="160"/>
      <c r="K6" s="153" t="s">
        <v>73</v>
      </c>
      <c r="L6" s="326" t="s">
        <v>144</v>
      </c>
      <c r="M6" s="327"/>
      <c r="N6" s="161">
        <v>188401</v>
      </c>
      <c r="O6" s="162"/>
      <c r="P6" s="318"/>
      <c r="Q6" s="319"/>
      <c r="R6" s="319"/>
      <c r="S6" s="319"/>
      <c r="T6" s="319"/>
      <c r="U6" s="320"/>
    </row>
    <row r="7" spans="1:21" x14ac:dyDescent="0.25">
      <c r="A7" s="153" t="s">
        <v>78</v>
      </c>
      <c r="B7" s="328" t="s">
        <v>145</v>
      </c>
      <c r="C7" s="327"/>
      <c r="D7" s="163" t="s">
        <v>80</v>
      </c>
      <c r="E7" s="164">
        <v>1525.9785747134699</v>
      </c>
      <c r="F7" s="156" t="s">
        <v>81</v>
      </c>
      <c r="G7" s="157"/>
      <c r="H7" s="165">
        <v>59.5</v>
      </c>
      <c r="I7" s="166">
        <v>32863</v>
      </c>
      <c r="J7" s="167"/>
      <c r="K7" s="168" t="s">
        <v>78</v>
      </c>
      <c r="L7" s="329" t="s">
        <v>145</v>
      </c>
      <c r="M7" s="330"/>
      <c r="N7" s="148"/>
      <c r="O7" s="150"/>
      <c r="P7" s="321"/>
      <c r="Q7" s="322"/>
      <c r="R7" s="322"/>
      <c r="S7" s="322"/>
      <c r="T7" s="322"/>
      <c r="U7" s="323"/>
    </row>
    <row r="8" spans="1:21" ht="15.75" x14ac:dyDescent="0.25">
      <c r="A8" s="153" t="s">
        <v>82</v>
      </c>
      <c r="B8" s="337" t="s">
        <v>65</v>
      </c>
      <c r="C8" s="338"/>
      <c r="D8" s="163" t="s">
        <v>83</v>
      </c>
      <c r="E8" s="164">
        <v>2990.9180064384009</v>
      </c>
      <c r="F8" s="156"/>
      <c r="G8" s="157"/>
      <c r="H8" s="152" t="s">
        <v>84</v>
      </c>
      <c r="I8" s="169" t="s">
        <v>85</v>
      </c>
      <c r="J8" s="152" t="s">
        <v>86</v>
      </c>
      <c r="K8" s="170"/>
      <c r="L8" s="171"/>
      <c r="M8" s="171"/>
      <c r="N8" s="171"/>
      <c r="O8" s="171"/>
      <c r="P8" s="171"/>
      <c r="Q8" s="171"/>
      <c r="R8" s="171"/>
      <c r="S8" s="171"/>
      <c r="T8" s="171"/>
      <c r="U8" s="172"/>
    </row>
    <row r="9" spans="1:21" ht="15.75" x14ac:dyDescent="0.25">
      <c r="A9" s="153" t="s">
        <v>87</v>
      </c>
      <c r="B9" s="337" t="s">
        <v>77</v>
      </c>
      <c r="C9" s="338"/>
      <c r="D9" s="163" t="s">
        <v>88</v>
      </c>
      <c r="E9" s="173">
        <v>71179</v>
      </c>
      <c r="F9" s="156" t="s">
        <v>89</v>
      </c>
      <c r="G9" s="157"/>
      <c r="H9" s="165">
        <v>62.32</v>
      </c>
      <c r="I9" s="174">
        <v>41645</v>
      </c>
      <c r="J9" s="175">
        <v>60066</v>
      </c>
      <c r="K9" s="339" t="s">
        <v>90</v>
      </c>
      <c r="L9" s="340"/>
      <c r="M9" s="340"/>
      <c r="N9" s="340"/>
      <c r="O9" s="340"/>
      <c r="P9" s="340"/>
      <c r="Q9" s="340"/>
      <c r="R9" s="340"/>
      <c r="S9" s="340"/>
      <c r="T9" s="340"/>
      <c r="U9" s="341"/>
    </row>
    <row r="10" spans="1:21" x14ac:dyDescent="0.25">
      <c r="A10" s="153" t="s">
        <v>91</v>
      </c>
      <c r="B10" s="328" t="s">
        <v>92</v>
      </c>
      <c r="C10" s="327"/>
      <c r="D10" s="163" t="s">
        <v>93</v>
      </c>
      <c r="E10" s="164">
        <v>117222</v>
      </c>
      <c r="F10" s="176" t="s">
        <v>94</v>
      </c>
      <c r="G10" s="177"/>
      <c r="H10" s="178">
        <v>62.32</v>
      </c>
      <c r="I10" s="179">
        <v>41645</v>
      </c>
      <c r="J10" s="180">
        <v>60066</v>
      </c>
      <c r="K10" s="181"/>
      <c r="L10" s="182" t="s">
        <v>95</v>
      </c>
      <c r="M10" s="183"/>
      <c r="N10" s="182" t="s">
        <v>96</v>
      </c>
      <c r="O10" s="183"/>
      <c r="P10" s="182" t="s">
        <v>97</v>
      </c>
      <c r="Q10" s="183"/>
      <c r="R10" s="182" t="s">
        <v>98</v>
      </c>
      <c r="S10" s="183"/>
      <c r="T10" s="182" t="s">
        <v>99</v>
      </c>
      <c r="U10" s="184"/>
    </row>
    <row r="11" spans="1:21" ht="15" customHeight="1" x14ac:dyDescent="0.25">
      <c r="A11" s="342" t="s">
        <v>192</v>
      </c>
      <c r="B11" s="343"/>
      <c r="C11" s="344"/>
      <c r="D11" s="185" t="s">
        <v>100</v>
      </c>
      <c r="E11" s="186">
        <v>188401</v>
      </c>
      <c r="F11" s="148" t="s">
        <v>101</v>
      </c>
      <c r="G11" s="150"/>
      <c r="H11" s="151" t="s">
        <v>102</v>
      </c>
      <c r="I11" s="152" t="s">
        <v>103</v>
      </c>
      <c r="J11" s="152" t="s">
        <v>104</v>
      </c>
      <c r="K11" s="187" t="s">
        <v>105</v>
      </c>
      <c r="L11" s="151" t="s">
        <v>106</v>
      </c>
      <c r="M11" s="151" t="s">
        <v>38</v>
      </c>
      <c r="N11" s="151" t="s">
        <v>106</v>
      </c>
      <c r="O11" s="151" t="s">
        <v>38</v>
      </c>
      <c r="P11" s="151" t="s">
        <v>106</v>
      </c>
      <c r="Q11" s="151" t="s">
        <v>38</v>
      </c>
      <c r="R11" s="151" t="s">
        <v>106</v>
      </c>
      <c r="S11" s="151" t="s">
        <v>38</v>
      </c>
      <c r="T11" s="151" t="s">
        <v>106</v>
      </c>
      <c r="U11" s="151" t="s">
        <v>38</v>
      </c>
    </row>
    <row r="12" spans="1:21" x14ac:dyDescent="0.25">
      <c r="A12" s="345"/>
      <c r="B12" s="346"/>
      <c r="C12" s="347"/>
      <c r="D12" s="149" t="s">
        <v>107</v>
      </c>
      <c r="E12" s="188"/>
      <c r="F12" s="147" t="s">
        <v>108</v>
      </c>
      <c r="G12" s="147"/>
      <c r="H12" s="121">
        <v>4404774.5515613351</v>
      </c>
      <c r="I12" s="121">
        <v>0</v>
      </c>
      <c r="J12" s="121">
        <v>4404774.5515613351</v>
      </c>
      <c r="K12" s="153" t="s">
        <v>41</v>
      </c>
      <c r="L12" s="189">
        <v>908.00000000000011</v>
      </c>
      <c r="M12" s="190">
        <v>906385.22668374237</v>
      </c>
      <c r="N12" s="189">
        <v>998.80000000000052</v>
      </c>
      <c r="O12" s="190">
        <v>976380.86231120268</v>
      </c>
      <c r="P12" s="189">
        <v>1089.6000000000004</v>
      </c>
      <c r="Q12" s="190">
        <v>1046376.497938663</v>
      </c>
      <c r="R12" s="189">
        <v>817.20000000000016</v>
      </c>
      <c r="S12" s="190">
        <v>836389.59105628193</v>
      </c>
      <c r="T12" s="189">
        <v>726.39999999999986</v>
      </c>
      <c r="U12" s="190">
        <v>766393.95542882185</v>
      </c>
    </row>
    <row r="13" spans="1:21" x14ac:dyDescent="0.25">
      <c r="A13" s="345"/>
      <c r="B13" s="346"/>
      <c r="C13" s="347"/>
      <c r="D13" s="191" t="s">
        <v>109</v>
      </c>
      <c r="E13" s="190">
        <v>182248</v>
      </c>
      <c r="F13" s="157" t="s">
        <v>110</v>
      </c>
      <c r="G13" s="153"/>
      <c r="H13" s="192">
        <v>3344216.8221065896</v>
      </c>
      <c r="I13" s="192">
        <v>0</v>
      </c>
      <c r="J13" s="192">
        <v>3344216.8221065896</v>
      </c>
      <c r="K13" s="153" t="s">
        <v>42</v>
      </c>
      <c r="L13" s="173">
        <v>706.00000000000034</v>
      </c>
      <c r="M13" s="164">
        <v>707234.83717624494</v>
      </c>
      <c r="N13" s="173">
        <v>776.60000000000048</v>
      </c>
      <c r="O13" s="164">
        <v>761871.89565057913</v>
      </c>
      <c r="P13" s="173">
        <v>847.19999999999982</v>
      </c>
      <c r="Q13" s="164">
        <v>816508.95412491332</v>
      </c>
      <c r="R13" s="173">
        <v>635.4000000000002</v>
      </c>
      <c r="S13" s="164">
        <v>652597.77870191098</v>
      </c>
      <c r="T13" s="173">
        <v>564.80000000000007</v>
      </c>
      <c r="U13" s="164">
        <v>597960.72022757703</v>
      </c>
    </row>
    <row r="14" spans="1:21" ht="15" customHeight="1" x14ac:dyDescent="0.25">
      <c r="A14" s="345"/>
      <c r="B14" s="346"/>
      <c r="C14" s="347"/>
      <c r="D14" s="193" t="s">
        <v>111</v>
      </c>
      <c r="E14" s="164">
        <v>-6153</v>
      </c>
      <c r="F14" s="351" t="s">
        <v>193</v>
      </c>
      <c r="G14" s="343"/>
      <c r="H14" s="343"/>
      <c r="I14" s="343"/>
      <c r="J14" s="344"/>
      <c r="K14" s="153" t="s">
        <v>43</v>
      </c>
      <c r="L14" s="173">
        <v>520</v>
      </c>
      <c r="M14" s="164">
        <v>521148.46397787501</v>
      </c>
      <c r="N14" s="173">
        <v>571.99999999999989</v>
      </c>
      <c r="O14" s="164">
        <v>561584.94488351326</v>
      </c>
      <c r="P14" s="173">
        <v>623.99999999999989</v>
      </c>
      <c r="Q14" s="164">
        <v>602021.42578915146</v>
      </c>
      <c r="R14" s="173">
        <v>467.99999999999989</v>
      </c>
      <c r="S14" s="164">
        <v>480711.98307223694</v>
      </c>
      <c r="T14" s="173">
        <v>415.99999999999989</v>
      </c>
      <c r="U14" s="164">
        <v>440275.50216659863</v>
      </c>
    </row>
    <row r="15" spans="1:21" x14ac:dyDescent="0.25">
      <c r="A15" s="345"/>
      <c r="B15" s="346"/>
      <c r="C15" s="347"/>
      <c r="D15" s="193" t="s">
        <v>112</v>
      </c>
      <c r="E15" s="194">
        <v>-3.2659062319202126E-2</v>
      </c>
      <c r="F15" s="345"/>
      <c r="G15" s="346"/>
      <c r="H15" s="346"/>
      <c r="I15" s="346"/>
      <c r="J15" s="347"/>
      <c r="K15" s="153" t="s">
        <v>113</v>
      </c>
      <c r="L15" s="173">
        <v>251</v>
      </c>
      <c r="M15" s="164">
        <v>273208.6785816644</v>
      </c>
      <c r="N15" s="173">
        <v>276.10000000000002</v>
      </c>
      <c r="O15" s="164">
        <v>295018.35515672294</v>
      </c>
      <c r="P15" s="173">
        <v>301.2</v>
      </c>
      <c r="Q15" s="164">
        <v>316828.03173178155</v>
      </c>
      <c r="R15" s="173">
        <v>225.9</v>
      </c>
      <c r="S15" s="164">
        <v>251399.00200660582</v>
      </c>
      <c r="T15" s="173">
        <v>200.80000000000004</v>
      </c>
      <c r="U15" s="164">
        <v>229589.32543154733</v>
      </c>
    </row>
    <row r="16" spans="1:21" x14ac:dyDescent="0.25">
      <c r="A16" s="348"/>
      <c r="B16" s="349"/>
      <c r="C16" s="350"/>
      <c r="D16" s="195"/>
      <c r="E16" s="196"/>
      <c r="F16" s="348"/>
      <c r="G16" s="349"/>
      <c r="H16" s="349"/>
      <c r="I16" s="349"/>
      <c r="J16" s="350"/>
      <c r="K16" s="153" t="s">
        <v>114</v>
      </c>
      <c r="L16" s="173">
        <v>74</v>
      </c>
      <c r="M16" s="164">
        <v>148467.94946159655</v>
      </c>
      <c r="N16" s="173">
        <v>81.399999999999949</v>
      </c>
      <c r="O16" s="164">
        <v>155090.74275988762</v>
      </c>
      <c r="P16" s="173">
        <v>88.800000000000068</v>
      </c>
      <c r="Q16" s="164">
        <v>161713.53605817867</v>
      </c>
      <c r="R16" s="173">
        <v>66.599999999999994</v>
      </c>
      <c r="S16" s="164">
        <v>141845.15616330554</v>
      </c>
      <c r="T16" s="173">
        <v>59.199999999999974</v>
      </c>
      <c r="U16" s="164">
        <v>135222.36286501453</v>
      </c>
    </row>
    <row r="17" spans="1:21" x14ac:dyDescent="0.25">
      <c r="A17" s="197"/>
      <c r="B17" s="9"/>
      <c r="C17" s="9"/>
      <c r="D17" s="9"/>
      <c r="E17" s="198"/>
      <c r="F17" s="199"/>
      <c r="G17" s="9"/>
      <c r="H17" s="9"/>
      <c r="I17" s="9"/>
      <c r="J17" s="200"/>
      <c r="K17" s="153" t="s">
        <v>115</v>
      </c>
      <c r="L17" s="173">
        <v>5.0000000000000044</v>
      </c>
      <c r="M17" s="164">
        <v>103185.82997854894</v>
      </c>
      <c r="N17" s="173">
        <v>5.5000000000000053</v>
      </c>
      <c r="O17" s="164">
        <v>103677.03473196299</v>
      </c>
      <c r="P17" s="173">
        <v>6.000000000000008</v>
      </c>
      <c r="Q17" s="164">
        <v>104168.23948537707</v>
      </c>
      <c r="R17" s="173">
        <v>4.5000000000000053</v>
      </c>
      <c r="S17" s="164">
        <v>102694.62522513491</v>
      </c>
      <c r="T17" s="173">
        <v>4.000000000000008</v>
      </c>
      <c r="U17" s="164">
        <v>102203.42047172083</v>
      </c>
    </row>
    <row r="18" spans="1:21" ht="15.75" x14ac:dyDescent="0.25">
      <c r="A18" s="352" t="s">
        <v>116</v>
      </c>
      <c r="B18" s="353"/>
      <c r="C18" s="353"/>
      <c r="D18" s="353"/>
      <c r="E18" s="353"/>
      <c r="F18" s="353"/>
      <c r="G18" s="353"/>
      <c r="H18" s="353"/>
      <c r="I18" s="353"/>
      <c r="J18" s="354"/>
      <c r="K18" s="153" t="s">
        <v>117</v>
      </c>
      <c r="L18" s="173">
        <v>0</v>
      </c>
      <c r="M18" s="164">
        <v>98720.528585876018</v>
      </c>
      <c r="N18" s="173">
        <v>0</v>
      </c>
      <c r="O18" s="164">
        <v>98726.436754140974</v>
      </c>
      <c r="P18" s="173">
        <v>0</v>
      </c>
      <c r="Q18" s="164">
        <v>98732.3449224059</v>
      </c>
      <c r="R18" s="173">
        <v>0</v>
      </c>
      <c r="S18" s="164">
        <v>98714.620417611121</v>
      </c>
      <c r="T18" s="173">
        <v>0</v>
      </c>
      <c r="U18" s="164">
        <v>98708.712249346179</v>
      </c>
    </row>
    <row r="19" spans="1:21" x14ac:dyDescent="0.25">
      <c r="A19" s="152" t="s">
        <v>118</v>
      </c>
      <c r="B19" s="331" t="s">
        <v>119</v>
      </c>
      <c r="C19" s="332"/>
      <c r="D19" s="333"/>
      <c r="E19" s="152" t="s">
        <v>120</v>
      </c>
      <c r="F19" s="331" t="s">
        <v>121</v>
      </c>
      <c r="G19" s="334"/>
      <c r="H19" s="335"/>
      <c r="I19" s="335"/>
      <c r="J19" s="336"/>
      <c r="K19" s="153" t="s">
        <v>122</v>
      </c>
      <c r="L19" s="173">
        <v>0.999999999999999</v>
      </c>
      <c r="M19" s="164">
        <v>101552.41970673511</v>
      </c>
      <c r="N19" s="173">
        <v>1.0999999999999992</v>
      </c>
      <c r="O19" s="164">
        <v>101635.78153490511</v>
      </c>
      <c r="P19" s="173">
        <v>1.1999999999999997</v>
      </c>
      <c r="Q19" s="164">
        <v>101719.14336307519</v>
      </c>
      <c r="R19" s="173">
        <v>0.89999999999999936</v>
      </c>
      <c r="S19" s="164">
        <v>101469.05787856504</v>
      </c>
      <c r="T19" s="173">
        <v>0.79999999999999938</v>
      </c>
      <c r="U19" s="164">
        <v>101385.69605039504</v>
      </c>
    </row>
    <row r="20" spans="1:21" x14ac:dyDescent="0.25">
      <c r="A20" s="201" t="s">
        <v>126</v>
      </c>
      <c r="B20" s="202" t="s">
        <v>160</v>
      </c>
      <c r="C20" s="203"/>
      <c r="D20" s="204"/>
      <c r="E20" s="164">
        <v>13500</v>
      </c>
      <c r="F20" s="205" t="s">
        <v>161</v>
      </c>
      <c r="G20" s="205"/>
      <c r="H20" s="205"/>
      <c r="I20" s="205"/>
      <c r="J20" s="206"/>
      <c r="K20" s="153" t="s">
        <v>125</v>
      </c>
      <c r="L20" s="173">
        <v>34.999999999999993</v>
      </c>
      <c r="M20" s="164">
        <v>122364.12706122662</v>
      </c>
      <c r="N20" s="173">
        <v>38.5</v>
      </c>
      <c r="O20" s="164">
        <v>125161.86392735381</v>
      </c>
      <c r="P20" s="173">
        <v>41.999999999999993</v>
      </c>
      <c r="Q20" s="164">
        <v>127959.60079348097</v>
      </c>
      <c r="R20" s="173">
        <v>31.5</v>
      </c>
      <c r="S20" s="164">
        <v>119566.39019509943</v>
      </c>
      <c r="T20" s="173">
        <v>27.999999999999993</v>
      </c>
      <c r="U20" s="164">
        <v>116768.65332897223</v>
      </c>
    </row>
    <row r="21" spans="1:21" x14ac:dyDescent="0.25">
      <c r="A21" s="207" t="s">
        <v>126</v>
      </c>
      <c r="B21" s="208" t="s">
        <v>162</v>
      </c>
      <c r="C21" s="209"/>
      <c r="D21" s="210"/>
      <c r="E21" s="164">
        <v>3000</v>
      </c>
      <c r="F21" s="205" t="s">
        <v>161</v>
      </c>
      <c r="G21" s="205"/>
      <c r="H21" s="205"/>
      <c r="I21" s="205"/>
      <c r="J21" s="206"/>
      <c r="K21" s="153" t="s">
        <v>127</v>
      </c>
      <c r="L21" s="173">
        <v>227</v>
      </c>
      <c r="M21" s="164">
        <v>213058.1960790985</v>
      </c>
      <c r="N21" s="173">
        <v>249.70000000000002</v>
      </c>
      <c r="O21" s="164">
        <v>231993.12976262736</v>
      </c>
      <c r="P21" s="173">
        <v>272.40000000000003</v>
      </c>
      <c r="Q21" s="164">
        <v>250928.06344615621</v>
      </c>
      <c r="R21" s="173">
        <v>204.29999999999998</v>
      </c>
      <c r="S21" s="164">
        <v>194123.26239556947</v>
      </c>
      <c r="T21" s="173">
        <v>181.60000000000005</v>
      </c>
      <c r="U21" s="164">
        <v>175188.32871204053</v>
      </c>
    </row>
    <row r="22" spans="1:21" x14ac:dyDescent="0.25">
      <c r="A22" s="207" t="s">
        <v>126</v>
      </c>
      <c r="B22" s="208" t="s">
        <v>163</v>
      </c>
      <c r="C22" s="209"/>
      <c r="D22" s="210"/>
      <c r="E22" s="164">
        <v>82000</v>
      </c>
      <c r="F22" s="205" t="s">
        <v>164</v>
      </c>
      <c r="G22" s="205"/>
      <c r="H22" s="205"/>
      <c r="I22" s="205"/>
      <c r="J22" s="206"/>
      <c r="K22" s="153" t="s">
        <v>39</v>
      </c>
      <c r="L22" s="173">
        <v>500</v>
      </c>
      <c r="M22" s="164">
        <v>437262.85709482018</v>
      </c>
      <c r="N22" s="173">
        <v>550.00000000000011</v>
      </c>
      <c r="O22" s="164">
        <v>475494.10806003073</v>
      </c>
      <c r="P22" s="173">
        <v>600</v>
      </c>
      <c r="Q22" s="164">
        <v>513725.35902524134</v>
      </c>
      <c r="R22" s="173">
        <v>450.00000000000006</v>
      </c>
      <c r="S22" s="164">
        <v>399031.60612960969</v>
      </c>
      <c r="T22" s="173">
        <v>400.00000000000011</v>
      </c>
      <c r="U22" s="164">
        <v>360800.35516439896</v>
      </c>
    </row>
    <row r="23" spans="1:21" x14ac:dyDescent="0.25">
      <c r="A23" s="207" t="s">
        <v>67</v>
      </c>
      <c r="B23" s="208" t="s">
        <v>140</v>
      </c>
      <c r="C23" s="209"/>
      <c r="D23" s="210"/>
      <c r="E23" s="164">
        <v>73270</v>
      </c>
      <c r="F23" s="205" t="s">
        <v>141</v>
      </c>
      <c r="G23" s="205"/>
      <c r="H23" s="205"/>
      <c r="I23" s="205"/>
      <c r="J23" s="206"/>
      <c r="K23" s="153" t="s">
        <v>40</v>
      </c>
      <c r="L23" s="173">
        <v>821.00000000000011</v>
      </c>
      <c r="M23" s="164">
        <v>772185.43717390695</v>
      </c>
      <c r="N23" s="173">
        <v>903.1</v>
      </c>
      <c r="O23" s="164">
        <v>835159.54140731017</v>
      </c>
      <c r="P23" s="173">
        <v>985.1999999999997</v>
      </c>
      <c r="Q23" s="164">
        <v>898133.6456407134</v>
      </c>
      <c r="R23" s="173">
        <v>738.90000000000009</v>
      </c>
      <c r="S23" s="164">
        <v>709211.33294050361</v>
      </c>
      <c r="T23" s="173">
        <v>656.8</v>
      </c>
      <c r="U23" s="164">
        <v>646237.22870710038</v>
      </c>
    </row>
    <row r="24" spans="1:21" x14ac:dyDescent="0.25">
      <c r="A24" s="207"/>
      <c r="B24" s="208"/>
      <c r="C24" s="209"/>
      <c r="D24" s="210"/>
      <c r="E24" s="164"/>
      <c r="F24" s="205" t="s">
        <v>142</v>
      </c>
      <c r="G24" s="205"/>
      <c r="H24" s="205"/>
      <c r="I24" s="205"/>
      <c r="J24" s="206"/>
      <c r="K24" s="211" t="s">
        <v>128</v>
      </c>
      <c r="L24" s="212">
        <v>4048.0000000000005</v>
      </c>
      <c r="M24" s="212">
        <v>4404774.5515613351</v>
      </c>
      <c r="N24" s="212">
        <v>4452.8000000000011</v>
      </c>
      <c r="O24" s="212">
        <v>4721794.6969402367</v>
      </c>
      <c r="P24" s="212">
        <v>4857.5999999999995</v>
      </c>
      <c r="Q24" s="212">
        <v>5038814.8423191374</v>
      </c>
      <c r="R24" s="212">
        <v>3643.2000000000007</v>
      </c>
      <c r="S24" s="212">
        <v>4087754.4061824349</v>
      </c>
      <c r="T24" s="212">
        <v>3238.3999999999996</v>
      </c>
      <c r="U24" s="212">
        <v>3770734.2608035337</v>
      </c>
    </row>
    <row r="25" spans="1:21" x14ac:dyDescent="0.25">
      <c r="A25" s="207"/>
      <c r="B25" s="208"/>
      <c r="C25" s="209"/>
      <c r="D25" s="210"/>
      <c r="E25" s="164"/>
      <c r="F25" s="205" t="s">
        <v>143</v>
      </c>
      <c r="G25" s="205"/>
      <c r="H25" s="205"/>
      <c r="I25" s="205"/>
      <c r="J25" s="206"/>
      <c r="K25" s="211" t="s">
        <v>129</v>
      </c>
      <c r="L25" s="212">
        <v>3455.0000000000005</v>
      </c>
      <c r="M25" s="212">
        <v>3344216.8221065896</v>
      </c>
      <c r="N25" s="212">
        <v>3800.5000000000009</v>
      </c>
      <c r="O25" s="212">
        <v>3610491.3523126356</v>
      </c>
      <c r="P25" s="212">
        <v>4146</v>
      </c>
      <c r="Q25" s="212">
        <v>3876765.8825186826</v>
      </c>
      <c r="R25" s="212">
        <v>3109.5000000000005</v>
      </c>
      <c r="S25" s="212">
        <v>3077942.291900543</v>
      </c>
      <c r="T25" s="212">
        <v>2764</v>
      </c>
      <c r="U25" s="212">
        <v>2811667.7616944965</v>
      </c>
    </row>
    <row r="26" spans="1:21" x14ac:dyDescent="0.25">
      <c r="A26" s="207" t="s">
        <v>126</v>
      </c>
      <c r="B26" s="208" t="s">
        <v>165</v>
      </c>
      <c r="C26" s="209"/>
      <c r="D26" s="210"/>
      <c r="E26" s="164">
        <v>4478</v>
      </c>
      <c r="F26" s="238" t="s">
        <v>187</v>
      </c>
      <c r="G26" s="205"/>
      <c r="H26" s="205"/>
      <c r="I26" s="205"/>
      <c r="J26" s="206"/>
      <c r="K26" s="213"/>
      <c r="L26" s="214"/>
      <c r="M26" s="214"/>
      <c r="N26" s="214"/>
      <c r="O26" s="214"/>
      <c r="P26" s="214"/>
      <c r="Q26" s="214"/>
      <c r="R26" s="214"/>
      <c r="S26" s="214"/>
      <c r="T26" s="214"/>
      <c r="U26" s="215"/>
    </row>
    <row r="27" spans="1:21" ht="15.75" x14ac:dyDescent="0.25">
      <c r="A27" s="207" t="s">
        <v>166</v>
      </c>
      <c r="B27" s="208" t="s">
        <v>188</v>
      </c>
      <c r="C27" s="209"/>
      <c r="D27" s="210"/>
      <c r="E27" s="164">
        <v>6000</v>
      </c>
      <c r="F27" s="205" t="s">
        <v>189</v>
      </c>
      <c r="G27" s="205"/>
      <c r="H27" s="205"/>
      <c r="I27" s="205"/>
      <c r="J27" s="206"/>
      <c r="K27" s="339" t="s">
        <v>130</v>
      </c>
      <c r="L27" s="340"/>
      <c r="M27" s="340"/>
      <c r="N27" s="340"/>
      <c r="O27" s="340"/>
      <c r="P27" s="340"/>
      <c r="Q27" s="340"/>
      <c r="R27" s="340"/>
      <c r="S27" s="340"/>
      <c r="T27" s="340"/>
      <c r="U27" s="341"/>
    </row>
    <row r="28" spans="1:21" x14ac:dyDescent="0.25">
      <c r="A28" s="207"/>
      <c r="B28" s="208"/>
      <c r="C28" s="209"/>
      <c r="D28" s="210"/>
      <c r="E28" s="164"/>
      <c r="F28" s="205"/>
      <c r="G28" s="205"/>
      <c r="H28" s="205"/>
      <c r="I28" s="205"/>
      <c r="J28" s="206"/>
      <c r="K28" s="181"/>
      <c r="L28" s="182" t="s">
        <v>95</v>
      </c>
      <c r="M28" s="183"/>
      <c r="N28" s="182" t="s">
        <v>96</v>
      </c>
      <c r="O28" s="183"/>
      <c r="P28" s="182" t="s">
        <v>97</v>
      </c>
      <c r="Q28" s="183"/>
      <c r="R28" s="182" t="s">
        <v>98</v>
      </c>
      <c r="S28" s="183"/>
      <c r="T28" s="182" t="s">
        <v>99</v>
      </c>
      <c r="U28" s="184"/>
    </row>
    <row r="29" spans="1:21" x14ac:dyDescent="0.25">
      <c r="A29" s="207"/>
      <c r="B29" s="208"/>
      <c r="C29" s="209"/>
      <c r="D29" s="210"/>
      <c r="E29" s="164"/>
      <c r="F29" s="205"/>
      <c r="G29" s="205"/>
      <c r="H29" s="205"/>
      <c r="I29" s="205"/>
      <c r="J29" s="206"/>
      <c r="K29" s="187" t="s">
        <v>105</v>
      </c>
      <c r="L29" s="151" t="s">
        <v>106</v>
      </c>
      <c r="M29" s="151" t="s">
        <v>38</v>
      </c>
      <c r="N29" s="151" t="s">
        <v>106</v>
      </c>
      <c r="O29" s="151" t="s">
        <v>38</v>
      </c>
      <c r="P29" s="151" t="s">
        <v>106</v>
      </c>
      <c r="Q29" s="151" t="s">
        <v>38</v>
      </c>
      <c r="R29" s="151" t="s">
        <v>106</v>
      </c>
      <c r="S29" s="151" t="s">
        <v>38</v>
      </c>
      <c r="T29" s="151" t="s">
        <v>106</v>
      </c>
      <c r="U29" s="151" t="s">
        <v>38</v>
      </c>
    </row>
    <row r="30" spans="1:21" x14ac:dyDescent="0.25">
      <c r="A30" s="216"/>
      <c r="B30" s="217"/>
      <c r="C30" s="218"/>
      <c r="D30" s="219"/>
      <c r="E30" s="220"/>
      <c r="F30" s="205"/>
      <c r="G30" s="205"/>
      <c r="H30" s="205"/>
      <c r="I30" s="205"/>
      <c r="J30" s="206"/>
      <c r="K30" s="153" t="s">
        <v>41</v>
      </c>
      <c r="L30" s="189">
        <v>908.00000000000011</v>
      </c>
      <c r="M30" s="190">
        <v>0</v>
      </c>
      <c r="N30" s="189">
        <v>998.80000000000052</v>
      </c>
      <c r="O30" s="190">
        <v>0</v>
      </c>
      <c r="P30" s="189">
        <v>1089.6000000000004</v>
      </c>
      <c r="Q30" s="190">
        <v>0</v>
      </c>
      <c r="R30" s="189">
        <v>817.20000000000016</v>
      </c>
      <c r="S30" s="190">
        <v>0</v>
      </c>
      <c r="T30" s="189">
        <v>726.39999999999986</v>
      </c>
      <c r="U30" s="190">
        <v>0</v>
      </c>
    </row>
    <row r="31" spans="1:21" x14ac:dyDescent="0.25">
      <c r="A31" s="221"/>
      <c r="B31" s="222"/>
      <c r="C31" s="222"/>
      <c r="D31" s="222" t="s">
        <v>131</v>
      </c>
      <c r="E31" s="223">
        <v>182248</v>
      </c>
      <c r="F31" s="224"/>
      <c r="G31" s="224"/>
      <c r="H31" s="224"/>
      <c r="I31" s="224"/>
      <c r="J31" s="225"/>
      <c r="K31" s="153" t="s">
        <v>42</v>
      </c>
      <c r="L31" s="173">
        <v>706.00000000000034</v>
      </c>
      <c r="M31" s="164">
        <v>0</v>
      </c>
      <c r="N31" s="173">
        <v>776.60000000000048</v>
      </c>
      <c r="O31" s="164">
        <v>0</v>
      </c>
      <c r="P31" s="173">
        <v>847.19999999999982</v>
      </c>
      <c r="Q31" s="164">
        <v>0</v>
      </c>
      <c r="R31" s="173">
        <v>635.4000000000002</v>
      </c>
      <c r="S31" s="164">
        <v>0</v>
      </c>
      <c r="T31" s="173">
        <v>564.80000000000007</v>
      </c>
      <c r="U31" s="164">
        <v>0</v>
      </c>
    </row>
    <row r="32" spans="1:21" x14ac:dyDescent="0.25">
      <c r="A32" s="226"/>
      <c r="B32" s="227"/>
      <c r="C32" s="227"/>
      <c r="D32" s="228"/>
      <c r="E32" s="229"/>
      <c r="F32" s="230"/>
      <c r="G32" s="230"/>
      <c r="H32" s="230"/>
      <c r="I32" s="230"/>
      <c r="J32" s="231"/>
      <c r="K32" s="153" t="s">
        <v>43</v>
      </c>
      <c r="L32" s="173">
        <v>520</v>
      </c>
      <c r="M32" s="164">
        <v>0</v>
      </c>
      <c r="N32" s="173">
        <v>571.99999999999989</v>
      </c>
      <c r="O32" s="164">
        <v>0</v>
      </c>
      <c r="P32" s="173">
        <v>623.99999999999989</v>
      </c>
      <c r="Q32" s="164">
        <v>0</v>
      </c>
      <c r="R32" s="173">
        <v>467.99999999999989</v>
      </c>
      <c r="S32" s="164">
        <v>0</v>
      </c>
      <c r="T32" s="173">
        <v>415.99999999999989</v>
      </c>
      <c r="U32" s="164">
        <v>0</v>
      </c>
    </row>
    <row r="33" spans="1:21" ht="15.75" x14ac:dyDescent="0.25">
      <c r="A33" s="352" t="s">
        <v>132</v>
      </c>
      <c r="B33" s="353"/>
      <c r="C33" s="353"/>
      <c r="D33" s="353"/>
      <c r="E33" s="353"/>
      <c r="F33" s="353"/>
      <c r="G33" s="353"/>
      <c r="H33" s="353"/>
      <c r="I33" s="353"/>
      <c r="J33" s="354"/>
      <c r="K33" s="153" t="s">
        <v>113</v>
      </c>
      <c r="L33" s="173">
        <v>251</v>
      </c>
      <c r="M33" s="164">
        <v>0</v>
      </c>
      <c r="N33" s="173">
        <v>276.10000000000002</v>
      </c>
      <c r="O33" s="164">
        <v>0</v>
      </c>
      <c r="P33" s="173">
        <v>301.2</v>
      </c>
      <c r="Q33" s="164">
        <v>0</v>
      </c>
      <c r="R33" s="173">
        <v>225.9</v>
      </c>
      <c r="S33" s="164">
        <v>0</v>
      </c>
      <c r="T33" s="173">
        <v>200.80000000000004</v>
      </c>
      <c r="U33" s="164">
        <v>0</v>
      </c>
    </row>
    <row r="34" spans="1:21" x14ac:dyDescent="0.25">
      <c r="A34" s="152" t="s">
        <v>118</v>
      </c>
      <c r="B34" s="331" t="s">
        <v>119</v>
      </c>
      <c r="C34" s="332"/>
      <c r="D34" s="333"/>
      <c r="E34" s="152" t="s">
        <v>120</v>
      </c>
      <c r="F34" s="331" t="s">
        <v>121</v>
      </c>
      <c r="G34" s="334"/>
      <c r="H34" s="335"/>
      <c r="I34" s="335"/>
      <c r="J34" s="336"/>
      <c r="K34" s="153" t="s">
        <v>114</v>
      </c>
      <c r="L34" s="173">
        <v>74</v>
      </c>
      <c r="M34" s="164">
        <v>0</v>
      </c>
      <c r="N34" s="173">
        <v>81.399999999999949</v>
      </c>
      <c r="O34" s="164">
        <v>0</v>
      </c>
      <c r="P34" s="173">
        <v>88.800000000000068</v>
      </c>
      <c r="Q34" s="164">
        <v>0</v>
      </c>
      <c r="R34" s="173">
        <v>66.599999999999994</v>
      </c>
      <c r="S34" s="164">
        <v>0</v>
      </c>
      <c r="T34" s="173">
        <v>59.199999999999974</v>
      </c>
      <c r="U34" s="164">
        <v>0</v>
      </c>
    </row>
    <row r="35" spans="1:21" x14ac:dyDescent="0.25">
      <c r="A35" s="201"/>
      <c r="B35" s="202"/>
      <c r="C35" s="203"/>
      <c r="D35" s="232"/>
      <c r="E35" s="190"/>
      <c r="F35" s="233"/>
      <c r="G35" s="233"/>
      <c r="H35" s="233"/>
      <c r="I35" s="233"/>
      <c r="J35" s="234"/>
      <c r="K35" s="153" t="s">
        <v>115</v>
      </c>
      <c r="L35" s="173">
        <v>5.0000000000000044</v>
      </c>
      <c r="M35" s="164">
        <v>0</v>
      </c>
      <c r="N35" s="173">
        <v>5.5000000000000053</v>
      </c>
      <c r="O35" s="164">
        <v>0</v>
      </c>
      <c r="P35" s="173">
        <v>6.000000000000008</v>
      </c>
      <c r="Q35" s="164">
        <v>0</v>
      </c>
      <c r="R35" s="173">
        <v>4.5000000000000053</v>
      </c>
      <c r="S35" s="164">
        <v>0</v>
      </c>
      <c r="T35" s="173">
        <v>4.000000000000008</v>
      </c>
      <c r="U35" s="164">
        <v>0</v>
      </c>
    </row>
    <row r="36" spans="1:21" x14ac:dyDescent="0.25">
      <c r="A36" s="207"/>
      <c r="B36" s="208"/>
      <c r="C36" s="209"/>
      <c r="D36" s="235"/>
      <c r="E36" s="164"/>
      <c r="F36" s="205"/>
      <c r="G36" s="205"/>
      <c r="H36" s="205"/>
      <c r="I36" s="205"/>
      <c r="J36" s="206"/>
      <c r="K36" s="153" t="s">
        <v>117</v>
      </c>
      <c r="L36" s="173">
        <v>0</v>
      </c>
      <c r="M36" s="164">
        <v>0</v>
      </c>
      <c r="N36" s="173">
        <v>0</v>
      </c>
      <c r="O36" s="164">
        <v>0</v>
      </c>
      <c r="P36" s="173">
        <v>0</v>
      </c>
      <c r="Q36" s="164">
        <v>0</v>
      </c>
      <c r="R36" s="173">
        <v>0</v>
      </c>
      <c r="S36" s="164">
        <v>0</v>
      </c>
      <c r="T36" s="173">
        <v>0</v>
      </c>
      <c r="U36" s="164">
        <v>0</v>
      </c>
    </row>
    <row r="37" spans="1:21" x14ac:dyDescent="0.25">
      <c r="A37" s="207"/>
      <c r="B37" s="208"/>
      <c r="C37" s="209"/>
      <c r="D37" s="235"/>
      <c r="E37" s="164"/>
      <c r="F37" s="205"/>
      <c r="G37" s="205"/>
      <c r="H37" s="205"/>
      <c r="I37" s="205"/>
      <c r="J37" s="206"/>
      <c r="K37" s="153" t="s">
        <v>122</v>
      </c>
      <c r="L37" s="173">
        <v>0.999999999999999</v>
      </c>
      <c r="M37" s="164">
        <v>0</v>
      </c>
      <c r="N37" s="173">
        <v>1.0999999999999992</v>
      </c>
      <c r="O37" s="164">
        <v>0</v>
      </c>
      <c r="P37" s="173">
        <v>1.1999999999999997</v>
      </c>
      <c r="Q37" s="164">
        <v>0</v>
      </c>
      <c r="R37" s="173">
        <v>0.89999999999999936</v>
      </c>
      <c r="S37" s="164">
        <v>0</v>
      </c>
      <c r="T37" s="173">
        <v>0.79999999999999938</v>
      </c>
      <c r="U37" s="164">
        <v>0</v>
      </c>
    </row>
    <row r="38" spans="1:21" x14ac:dyDescent="0.25">
      <c r="A38" s="207"/>
      <c r="B38" s="208"/>
      <c r="C38" s="209"/>
      <c r="D38" s="235"/>
      <c r="E38" s="164"/>
      <c r="F38" s="205"/>
      <c r="G38" s="205"/>
      <c r="H38" s="205"/>
      <c r="I38" s="205"/>
      <c r="J38" s="206"/>
      <c r="K38" s="153" t="s">
        <v>125</v>
      </c>
      <c r="L38" s="173">
        <v>34.999999999999993</v>
      </c>
      <c r="M38" s="164">
        <v>0</v>
      </c>
      <c r="N38" s="173">
        <v>38.5</v>
      </c>
      <c r="O38" s="164">
        <v>0</v>
      </c>
      <c r="P38" s="173">
        <v>41.999999999999993</v>
      </c>
      <c r="Q38" s="164">
        <v>0</v>
      </c>
      <c r="R38" s="173">
        <v>31.5</v>
      </c>
      <c r="S38" s="164">
        <v>0</v>
      </c>
      <c r="T38" s="173">
        <v>27.999999999999993</v>
      </c>
      <c r="U38" s="164">
        <v>0</v>
      </c>
    </row>
    <row r="39" spans="1:21" x14ac:dyDescent="0.25">
      <c r="A39" s="207"/>
      <c r="B39" s="208"/>
      <c r="C39" s="209"/>
      <c r="D39" s="235"/>
      <c r="E39" s="164"/>
      <c r="F39" s="205"/>
      <c r="G39" s="205"/>
      <c r="H39" s="205"/>
      <c r="I39" s="205"/>
      <c r="J39" s="206"/>
      <c r="K39" s="153" t="s">
        <v>127</v>
      </c>
      <c r="L39" s="173">
        <v>227</v>
      </c>
      <c r="M39" s="164">
        <v>0</v>
      </c>
      <c r="N39" s="173">
        <v>249.70000000000002</v>
      </c>
      <c r="O39" s="164">
        <v>0</v>
      </c>
      <c r="P39" s="173">
        <v>272.40000000000003</v>
      </c>
      <c r="Q39" s="164">
        <v>0</v>
      </c>
      <c r="R39" s="173">
        <v>204.29999999999998</v>
      </c>
      <c r="S39" s="164">
        <v>0</v>
      </c>
      <c r="T39" s="173">
        <v>181.60000000000005</v>
      </c>
      <c r="U39" s="164">
        <v>0</v>
      </c>
    </row>
    <row r="40" spans="1:21" x14ac:dyDescent="0.25">
      <c r="A40" s="207"/>
      <c r="B40" s="208"/>
      <c r="C40" s="209"/>
      <c r="D40" s="235"/>
      <c r="E40" s="164"/>
      <c r="F40" s="205"/>
      <c r="G40" s="205"/>
      <c r="H40" s="205"/>
      <c r="I40" s="205"/>
      <c r="J40" s="206"/>
      <c r="K40" s="153" t="s">
        <v>39</v>
      </c>
      <c r="L40" s="173">
        <v>500</v>
      </c>
      <c r="M40" s="164">
        <v>0</v>
      </c>
      <c r="N40" s="173">
        <v>550.00000000000011</v>
      </c>
      <c r="O40" s="164">
        <v>0</v>
      </c>
      <c r="P40" s="173">
        <v>600</v>
      </c>
      <c r="Q40" s="164">
        <v>0</v>
      </c>
      <c r="R40" s="173">
        <v>450.00000000000006</v>
      </c>
      <c r="S40" s="164">
        <v>0</v>
      </c>
      <c r="T40" s="173">
        <v>400.00000000000011</v>
      </c>
      <c r="U40" s="164">
        <v>0</v>
      </c>
    </row>
    <row r="41" spans="1:21" x14ac:dyDescent="0.25">
      <c r="A41" s="207"/>
      <c r="B41" s="208"/>
      <c r="C41" s="209"/>
      <c r="D41" s="235"/>
      <c r="E41" s="164"/>
      <c r="F41" s="205"/>
      <c r="G41" s="205"/>
      <c r="H41" s="205"/>
      <c r="I41" s="205"/>
      <c r="J41" s="206"/>
      <c r="K41" s="153" t="s">
        <v>40</v>
      </c>
      <c r="L41" s="173">
        <v>821.00000000000011</v>
      </c>
      <c r="M41" s="164">
        <v>0</v>
      </c>
      <c r="N41" s="173">
        <v>903.1</v>
      </c>
      <c r="O41" s="164">
        <v>0</v>
      </c>
      <c r="P41" s="173">
        <v>985.1999999999997</v>
      </c>
      <c r="Q41" s="164">
        <v>0</v>
      </c>
      <c r="R41" s="173">
        <v>738.90000000000009</v>
      </c>
      <c r="S41" s="164">
        <v>0</v>
      </c>
      <c r="T41" s="173">
        <v>656.8</v>
      </c>
      <c r="U41" s="164">
        <v>0</v>
      </c>
    </row>
    <row r="42" spans="1:21" x14ac:dyDescent="0.25">
      <c r="A42" s="207"/>
      <c r="B42" s="208"/>
      <c r="C42" s="209"/>
      <c r="D42" s="235"/>
      <c r="E42" s="164"/>
      <c r="F42" s="205"/>
      <c r="G42" s="205"/>
      <c r="H42" s="205"/>
      <c r="I42" s="205"/>
      <c r="J42" s="206"/>
      <c r="K42" s="211" t="s">
        <v>133</v>
      </c>
      <c r="L42" s="212">
        <v>4048.0000000000005</v>
      </c>
      <c r="M42" s="212">
        <v>0</v>
      </c>
      <c r="N42" s="212">
        <v>4452.8000000000011</v>
      </c>
      <c r="O42" s="212">
        <v>0</v>
      </c>
      <c r="P42" s="212">
        <v>4857.5999999999995</v>
      </c>
      <c r="Q42" s="212">
        <v>0</v>
      </c>
      <c r="R42" s="212">
        <v>3643.2000000000007</v>
      </c>
      <c r="S42" s="212">
        <v>0</v>
      </c>
      <c r="T42" s="212">
        <v>3238.3999999999996</v>
      </c>
      <c r="U42" s="212">
        <v>0</v>
      </c>
    </row>
    <row r="43" spans="1:21" x14ac:dyDescent="0.25">
      <c r="A43" s="207"/>
      <c r="B43" s="208"/>
      <c r="C43" s="209"/>
      <c r="D43" s="235"/>
      <c r="E43" s="164"/>
      <c r="F43" s="205"/>
      <c r="G43" s="205"/>
      <c r="H43" s="205"/>
      <c r="I43" s="205"/>
      <c r="J43" s="206"/>
      <c r="K43" s="211" t="s">
        <v>134</v>
      </c>
      <c r="L43" s="212">
        <v>3455.0000000000005</v>
      </c>
      <c r="M43" s="212">
        <v>0</v>
      </c>
      <c r="N43" s="212">
        <v>3800.5000000000009</v>
      </c>
      <c r="O43" s="212">
        <v>0</v>
      </c>
      <c r="P43" s="212">
        <v>4146</v>
      </c>
      <c r="Q43" s="212">
        <v>0</v>
      </c>
      <c r="R43" s="212">
        <v>3109.5000000000005</v>
      </c>
      <c r="S43" s="212">
        <v>0</v>
      </c>
      <c r="T43" s="212">
        <v>2764</v>
      </c>
      <c r="U43" s="212">
        <v>0</v>
      </c>
    </row>
    <row r="44" spans="1:21" x14ac:dyDescent="0.25">
      <c r="A44" s="207"/>
      <c r="B44" s="217"/>
      <c r="C44" s="218"/>
      <c r="D44" s="236"/>
      <c r="E44" s="220"/>
      <c r="F44" s="205"/>
      <c r="G44" s="205"/>
      <c r="H44" s="205"/>
      <c r="I44" s="205"/>
      <c r="J44" s="206"/>
      <c r="K44" s="211" t="s">
        <v>135</v>
      </c>
      <c r="L44" s="212">
        <v>4048.0000000000005</v>
      </c>
      <c r="M44" s="212">
        <v>4404774.5515613351</v>
      </c>
      <c r="N44" s="212">
        <v>4452.8000000000011</v>
      </c>
      <c r="O44" s="212">
        <v>4721794.6969402367</v>
      </c>
      <c r="P44" s="212">
        <v>4857.5999999999995</v>
      </c>
      <c r="Q44" s="212">
        <v>5038814.8423191374</v>
      </c>
      <c r="R44" s="212">
        <v>3643.2000000000007</v>
      </c>
      <c r="S44" s="212">
        <v>4087754.4061824349</v>
      </c>
      <c r="T44" s="212">
        <v>3238.3999999999996</v>
      </c>
      <c r="U44" s="212">
        <v>3770734.2608035337</v>
      </c>
    </row>
    <row r="45" spans="1:21" x14ac:dyDescent="0.25">
      <c r="A45" s="221"/>
      <c r="B45" s="222"/>
      <c r="C45" s="222"/>
      <c r="D45" s="222" t="s">
        <v>136</v>
      </c>
      <c r="E45" s="223">
        <v>0</v>
      </c>
      <c r="F45" s="224"/>
      <c r="G45" s="224"/>
      <c r="H45" s="224"/>
      <c r="I45" s="224"/>
      <c r="J45" s="225"/>
      <c r="K45" s="211" t="s">
        <v>137</v>
      </c>
      <c r="L45" s="212">
        <v>3455.0000000000005</v>
      </c>
      <c r="M45" s="212">
        <v>3344216.8221065896</v>
      </c>
      <c r="N45" s="212">
        <v>3800.5000000000009</v>
      </c>
      <c r="O45" s="212">
        <v>3610491.3523126356</v>
      </c>
      <c r="P45" s="212">
        <v>4146</v>
      </c>
      <c r="Q45" s="212">
        <v>3876765.8825186826</v>
      </c>
      <c r="R45" s="212">
        <v>3109.5000000000005</v>
      </c>
      <c r="S45" s="212">
        <v>3077942.291900543</v>
      </c>
      <c r="T45" s="212">
        <v>2764</v>
      </c>
      <c r="U45" s="212">
        <v>2811667.7616944965</v>
      </c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phoneticPr fontId="13" type="noConversion"/>
  <conditionalFormatting sqref="J9">
    <cfRule type="cellIs" dxfId="11" priority="4" stopIfTrue="1" operator="greaterThanOrEqual">
      <formula>#REF!</formula>
    </cfRule>
  </conditionalFormatting>
  <conditionalFormatting sqref="J10">
    <cfRule type="cellIs" dxfId="10" priority="3" stopIfTrue="1" operator="greaterThanOrEqual">
      <formula>#REF!</formula>
    </cfRule>
  </conditionalFormatting>
  <conditionalFormatting sqref="H9">
    <cfRule type="cellIs" dxfId="9" priority="2" stopIfTrue="1" operator="greaterThanOrEqual">
      <formula>#REF!</formula>
    </cfRule>
  </conditionalFormatting>
  <conditionalFormatting sqref="F4:J4">
    <cfRule type="containsText" dxfId="8" priority="1" stopIfTrue="1" operator="containsText" text="PEAK DAY">
      <formula>NOT(ISERROR(SEARCH("PEAK DAY",F4)))</formula>
    </cfRule>
  </conditionalFormatting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4" zoomScale="75" zoomScaleNormal="75" workbookViewId="0">
      <selection sqref="A1:IV65536"/>
    </sheetView>
  </sheetViews>
  <sheetFormatPr defaultColWidth="9.140625" defaultRowHeight="15" x14ac:dyDescent="0.25"/>
  <cols>
    <col min="1" max="1" width="26.7109375" style="237" customWidth="1"/>
    <col min="2" max="3" width="18.7109375" style="237" customWidth="1"/>
    <col min="4" max="4" width="27.7109375" style="237" customWidth="1"/>
    <col min="5" max="5" width="15.7109375" style="237" customWidth="1"/>
    <col min="6" max="7" width="12.7109375" style="237" customWidth="1"/>
    <col min="8" max="8" width="17.7109375" style="237" customWidth="1"/>
    <col min="9" max="10" width="15.7109375" style="237" customWidth="1"/>
    <col min="11" max="13" width="18.7109375" style="138" customWidth="1"/>
    <col min="14" max="21" width="15.85546875" style="138" customWidth="1"/>
    <col min="22" max="16384" width="9.140625" style="138"/>
  </cols>
  <sheetData>
    <row r="1" spans="1:21" ht="18" x14ac:dyDescent="0.25">
      <c r="A1" s="302" t="s">
        <v>18</v>
      </c>
      <c r="B1" s="303"/>
      <c r="C1" s="303"/>
      <c r="D1" s="303"/>
      <c r="E1" s="303"/>
      <c r="F1" s="303"/>
      <c r="G1" s="303"/>
      <c r="H1" s="303"/>
      <c r="I1" s="303"/>
      <c r="J1" s="304"/>
      <c r="K1" s="302" t="s">
        <v>18</v>
      </c>
      <c r="L1" s="303"/>
      <c r="M1" s="303"/>
      <c r="N1" s="303"/>
      <c r="O1" s="303"/>
      <c r="P1" s="303"/>
      <c r="Q1" s="303"/>
      <c r="R1" s="303"/>
      <c r="S1" s="303"/>
      <c r="T1" s="303"/>
      <c r="U1" s="304"/>
    </row>
    <row r="2" spans="1:21" ht="18" x14ac:dyDescent="0.25">
      <c r="A2" s="305" t="s">
        <v>170</v>
      </c>
      <c r="B2" s="306"/>
      <c r="C2" s="306"/>
      <c r="D2" s="306"/>
      <c r="E2" s="306"/>
      <c r="F2" s="306"/>
      <c r="G2" s="306"/>
      <c r="H2" s="306"/>
      <c r="I2" s="306"/>
      <c r="J2" s="307"/>
      <c r="K2" s="305" t="s">
        <v>171</v>
      </c>
      <c r="L2" s="306"/>
      <c r="M2" s="306"/>
      <c r="N2" s="306"/>
      <c r="O2" s="306"/>
      <c r="P2" s="306"/>
      <c r="Q2" s="306"/>
      <c r="R2" s="306"/>
      <c r="S2" s="306"/>
      <c r="T2" s="306"/>
      <c r="U2" s="307"/>
    </row>
    <row r="3" spans="1:21" x14ac:dyDescent="0.25">
      <c r="A3" s="139"/>
      <c r="B3" s="140"/>
      <c r="C3"/>
      <c r="D3" s="308" t="s">
        <v>183</v>
      </c>
      <c r="E3" s="308"/>
      <c r="F3" s="308"/>
      <c r="G3"/>
      <c r="H3" s="140"/>
      <c r="I3" s="140"/>
      <c r="J3" s="141"/>
      <c r="K3" s="139"/>
      <c r="L3" s="140"/>
      <c r="M3"/>
      <c r="N3" s="308" t="s">
        <v>183</v>
      </c>
      <c r="O3" s="308"/>
      <c r="P3" s="308"/>
      <c r="Q3" s="308"/>
      <c r="R3"/>
      <c r="S3"/>
      <c r="T3" s="140"/>
      <c r="U3" s="141"/>
    </row>
    <row r="4" spans="1:21" x14ac:dyDescent="0.25">
      <c r="A4" s="142"/>
      <c r="B4" s="143"/>
      <c r="C4" s="143"/>
      <c r="D4" s="143"/>
      <c r="E4" s="143"/>
      <c r="F4" s="309" t="s">
        <v>157</v>
      </c>
      <c r="G4" s="309"/>
      <c r="H4" s="309"/>
      <c r="I4" s="309"/>
      <c r="J4" s="310"/>
      <c r="K4" s="144"/>
      <c r="L4" s="145"/>
      <c r="M4" s="145"/>
      <c r="N4" s="145"/>
      <c r="O4" s="145"/>
      <c r="P4" s="145"/>
      <c r="Q4" s="145"/>
      <c r="R4" s="145"/>
      <c r="S4" s="145"/>
      <c r="T4" s="145"/>
      <c r="U4" s="146"/>
    </row>
    <row r="5" spans="1:21" ht="15" customHeight="1" x14ac:dyDescent="0.25">
      <c r="A5" s="147" t="s">
        <v>68</v>
      </c>
      <c r="B5" s="311" t="s">
        <v>66</v>
      </c>
      <c r="C5" s="312"/>
      <c r="D5" s="148" t="s">
        <v>69</v>
      </c>
      <c r="E5" s="149"/>
      <c r="F5" s="148" t="s">
        <v>70</v>
      </c>
      <c r="G5" s="150"/>
      <c r="H5" s="151" t="s">
        <v>71</v>
      </c>
      <c r="I5" s="152" t="s">
        <v>85</v>
      </c>
      <c r="J5" s="152"/>
      <c r="K5" s="147" t="s">
        <v>68</v>
      </c>
      <c r="L5" s="313" t="s">
        <v>66</v>
      </c>
      <c r="M5" s="314"/>
      <c r="N5" s="148" t="s">
        <v>72</v>
      </c>
      <c r="O5" s="150"/>
      <c r="P5" s="315" t="s">
        <v>184</v>
      </c>
      <c r="Q5" s="316"/>
      <c r="R5" s="316"/>
      <c r="S5" s="316"/>
      <c r="T5" s="316"/>
      <c r="U5" s="317"/>
    </row>
    <row r="6" spans="1:21" x14ac:dyDescent="0.25">
      <c r="A6" s="153" t="s">
        <v>73</v>
      </c>
      <c r="B6" s="324" t="s">
        <v>139</v>
      </c>
      <c r="C6" s="325"/>
      <c r="D6" s="154" t="s">
        <v>75</v>
      </c>
      <c r="E6" s="155">
        <v>0.95592031635944996</v>
      </c>
      <c r="F6" s="156" t="s">
        <v>76</v>
      </c>
      <c r="G6" s="157"/>
      <c r="H6" s="158">
        <v>74.5</v>
      </c>
      <c r="I6" s="159">
        <v>31067</v>
      </c>
      <c r="J6" s="160"/>
      <c r="K6" s="153" t="s">
        <v>73</v>
      </c>
      <c r="L6" s="326" t="s">
        <v>139</v>
      </c>
      <c r="M6" s="327"/>
      <c r="N6" s="161">
        <v>188401</v>
      </c>
      <c r="O6" s="162"/>
      <c r="P6" s="318"/>
      <c r="Q6" s="319"/>
      <c r="R6" s="319"/>
      <c r="S6" s="319"/>
      <c r="T6" s="319"/>
      <c r="U6" s="320"/>
    </row>
    <row r="7" spans="1:21" x14ac:dyDescent="0.25">
      <c r="A7" s="153" t="s">
        <v>78</v>
      </c>
      <c r="B7" s="328" t="s">
        <v>138</v>
      </c>
      <c r="C7" s="327"/>
      <c r="D7" s="163" t="s">
        <v>80</v>
      </c>
      <c r="E7" s="164">
        <v>3705.3996298059701</v>
      </c>
      <c r="F7" s="156" t="s">
        <v>81</v>
      </c>
      <c r="G7" s="157"/>
      <c r="H7" s="165">
        <v>55</v>
      </c>
      <c r="I7" s="166">
        <v>31066</v>
      </c>
      <c r="J7" s="167"/>
      <c r="K7" s="168" t="s">
        <v>78</v>
      </c>
      <c r="L7" s="329" t="s">
        <v>138</v>
      </c>
      <c r="M7" s="330"/>
      <c r="N7" s="148"/>
      <c r="O7" s="150"/>
      <c r="P7" s="321"/>
      <c r="Q7" s="322"/>
      <c r="R7" s="322"/>
      <c r="S7" s="322"/>
      <c r="T7" s="322"/>
      <c r="U7" s="323"/>
    </row>
    <row r="8" spans="1:21" ht="15.75" x14ac:dyDescent="0.25">
      <c r="A8" s="153" t="s">
        <v>82</v>
      </c>
      <c r="B8" s="337" t="s">
        <v>65</v>
      </c>
      <c r="C8" s="338"/>
      <c r="D8" s="163" t="s">
        <v>83</v>
      </c>
      <c r="E8" s="164">
        <v>7262.5832744197014</v>
      </c>
      <c r="F8" s="156"/>
      <c r="G8" s="157"/>
      <c r="H8" s="152" t="s">
        <v>84</v>
      </c>
      <c r="I8" s="169" t="s">
        <v>85</v>
      </c>
      <c r="J8" s="152" t="s">
        <v>86</v>
      </c>
      <c r="K8" s="170"/>
      <c r="L8" s="171"/>
      <c r="M8" s="171"/>
      <c r="N8" s="171"/>
      <c r="O8" s="171"/>
      <c r="P8" s="171"/>
      <c r="Q8" s="171"/>
      <c r="R8" s="171"/>
      <c r="S8" s="171"/>
      <c r="T8" s="171"/>
      <c r="U8" s="172"/>
    </row>
    <row r="9" spans="1:21" ht="15.75" x14ac:dyDescent="0.25">
      <c r="A9" s="153" t="s">
        <v>87</v>
      </c>
      <c r="B9" s="337" t="s">
        <v>77</v>
      </c>
      <c r="C9" s="338"/>
      <c r="D9" s="163" t="s">
        <v>88</v>
      </c>
      <c r="E9" s="173">
        <v>116582</v>
      </c>
      <c r="F9" s="156" t="s">
        <v>89</v>
      </c>
      <c r="G9" s="157"/>
      <c r="H9" s="165">
        <v>59.92</v>
      </c>
      <c r="I9" s="174">
        <v>37644</v>
      </c>
      <c r="J9" s="175">
        <v>108097</v>
      </c>
      <c r="K9" s="339" t="s">
        <v>90</v>
      </c>
      <c r="L9" s="340"/>
      <c r="M9" s="340"/>
      <c r="N9" s="340"/>
      <c r="O9" s="340"/>
      <c r="P9" s="340"/>
      <c r="Q9" s="340"/>
      <c r="R9" s="340"/>
      <c r="S9" s="340"/>
      <c r="T9" s="340"/>
      <c r="U9" s="341"/>
    </row>
    <row r="10" spans="1:21" x14ac:dyDescent="0.25">
      <c r="A10" s="153" t="s">
        <v>91</v>
      </c>
      <c r="B10" s="328" t="s">
        <v>92</v>
      </c>
      <c r="C10" s="327"/>
      <c r="D10" s="163" t="s">
        <v>93</v>
      </c>
      <c r="E10" s="164">
        <v>71819</v>
      </c>
      <c r="F10" s="176" t="s">
        <v>94</v>
      </c>
      <c r="G10" s="177"/>
      <c r="H10" s="178">
        <v>65</v>
      </c>
      <c r="I10" s="179">
        <v>41645</v>
      </c>
      <c r="J10" s="180">
        <v>104095</v>
      </c>
      <c r="K10" s="181"/>
      <c r="L10" s="182" t="s">
        <v>95</v>
      </c>
      <c r="M10" s="183"/>
      <c r="N10" s="182" t="s">
        <v>96</v>
      </c>
      <c r="O10" s="183"/>
      <c r="P10" s="182" t="s">
        <v>97</v>
      </c>
      <c r="Q10" s="183"/>
      <c r="R10" s="182" t="s">
        <v>98</v>
      </c>
      <c r="S10" s="183"/>
      <c r="T10" s="182" t="s">
        <v>99</v>
      </c>
      <c r="U10" s="184"/>
    </row>
    <row r="11" spans="1:21" ht="15" customHeight="1" x14ac:dyDescent="0.25">
      <c r="A11" s="342" t="s">
        <v>185</v>
      </c>
      <c r="B11" s="343"/>
      <c r="C11" s="344"/>
      <c r="D11" s="185" t="s">
        <v>100</v>
      </c>
      <c r="E11" s="186">
        <v>188401</v>
      </c>
      <c r="F11" s="148" t="s">
        <v>101</v>
      </c>
      <c r="G11" s="150"/>
      <c r="H11" s="151" t="s">
        <v>102</v>
      </c>
      <c r="I11" s="152" t="s">
        <v>103</v>
      </c>
      <c r="J11" s="152" t="s">
        <v>104</v>
      </c>
      <c r="K11" s="187" t="s">
        <v>105</v>
      </c>
      <c r="L11" s="151" t="s">
        <v>106</v>
      </c>
      <c r="M11" s="151" t="s">
        <v>38</v>
      </c>
      <c r="N11" s="151" t="s">
        <v>106</v>
      </c>
      <c r="O11" s="151" t="s">
        <v>38</v>
      </c>
      <c r="P11" s="151" t="s">
        <v>106</v>
      </c>
      <c r="Q11" s="151" t="s">
        <v>38</v>
      </c>
      <c r="R11" s="151" t="s">
        <v>106</v>
      </c>
      <c r="S11" s="151" t="s">
        <v>38</v>
      </c>
      <c r="T11" s="151" t="s">
        <v>106</v>
      </c>
      <c r="U11" s="151" t="s">
        <v>38</v>
      </c>
    </row>
    <row r="12" spans="1:21" x14ac:dyDescent="0.25">
      <c r="A12" s="345"/>
      <c r="B12" s="346"/>
      <c r="C12" s="347"/>
      <c r="D12" s="149" t="s">
        <v>107</v>
      </c>
      <c r="E12" s="188"/>
      <c r="F12" s="147" t="s">
        <v>108</v>
      </c>
      <c r="G12" s="147"/>
      <c r="H12" s="121">
        <v>7430276.2803996503</v>
      </c>
      <c r="I12" s="121">
        <v>165108.79664429362</v>
      </c>
      <c r="J12" s="121">
        <v>7595385.077043944</v>
      </c>
      <c r="K12" s="153" t="s">
        <v>41</v>
      </c>
      <c r="L12" s="189">
        <v>1007.0000000000007</v>
      </c>
      <c r="M12" s="190">
        <v>1524487.1327789859</v>
      </c>
      <c r="N12" s="189">
        <v>1107.7000000000003</v>
      </c>
      <c r="O12" s="190">
        <v>1652228.5447136471</v>
      </c>
      <c r="P12" s="189">
        <v>1208.3999999999999</v>
      </c>
      <c r="Q12" s="190">
        <v>1779969.9566483074</v>
      </c>
      <c r="R12" s="189">
        <v>906.30000000000007</v>
      </c>
      <c r="S12" s="190">
        <v>1396745.7208443256</v>
      </c>
      <c r="T12" s="189">
        <v>805.59999999999945</v>
      </c>
      <c r="U12" s="190">
        <v>1269004.3089096651</v>
      </c>
    </row>
    <row r="13" spans="1:21" x14ac:dyDescent="0.25">
      <c r="A13" s="345"/>
      <c r="B13" s="346"/>
      <c r="C13" s="347"/>
      <c r="D13" s="191" t="s">
        <v>109</v>
      </c>
      <c r="E13" s="190">
        <v>182248</v>
      </c>
      <c r="F13" s="157" t="s">
        <v>110</v>
      </c>
      <c r="G13" s="153"/>
      <c r="H13" s="192">
        <v>5615156.2546359906</v>
      </c>
      <c r="I13" s="192">
        <v>75165.635704502274</v>
      </c>
      <c r="J13" s="192">
        <v>5690321.8903404931</v>
      </c>
      <c r="K13" s="153" t="s">
        <v>42</v>
      </c>
      <c r="L13" s="173">
        <v>795.00000000000011</v>
      </c>
      <c r="M13" s="164">
        <v>1187013.8305023368</v>
      </c>
      <c r="N13" s="173">
        <v>874.50000000000023</v>
      </c>
      <c r="O13" s="164">
        <v>1288200.4141787381</v>
      </c>
      <c r="P13" s="173">
        <v>954.00000000000011</v>
      </c>
      <c r="Q13" s="164">
        <v>1389386.9978551397</v>
      </c>
      <c r="R13" s="173">
        <v>715.5</v>
      </c>
      <c r="S13" s="164">
        <v>1085827.2468259353</v>
      </c>
      <c r="T13" s="173">
        <v>636</v>
      </c>
      <c r="U13" s="164">
        <v>984640.66314953414</v>
      </c>
    </row>
    <row r="14" spans="1:21" ht="15" customHeight="1" x14ac:dyDescent="0.25">
      <c r="A14" s="345"/>
      <c r="B14" s="346"/>
      <c r="C14" s="347"/>
      <c r="D14" s="193" t="s">
        <v>111</v>
      </c>
      <c r="E14" s="164">
        <v>-6153</v>
      </c>
      <c r="F14" s="351" t="s">
        <v>186</v>
      </c>
      <c r="G14" s="343"/>
      <c r="H14" s="343"/>
      <c r="I14" s="343"/>
      <c r="J14" s="344"/>
      <c r="K14" s="153" t="s">
        <v>43</v>
      </c>
      <c r="L14" s="173">
        <v>591.99999999999977</v>
      </c>
      <c r="M14" s="164">
        <v>864293.02339517232</v>
      </c>
      <c r="N14" s="173">
        <v>651.20000000000005</v>
      </c>
      <c r="O14" s="164">
        <v>939847.71731994674</v>
      </c>
      <c r="P14" s="173">
        <v>710.39999999999986</v>
      </c>
      <c r="Q14" s="164">
        <v>1015402.4112447206</v>
      </c>
      <c r="R14" s="173">
        <v>532.80000000000018</v>
      </c>
      <c r="S14" s="164">
        <v>788738.32947039837</v>
      </c>
      <c r="T14" s="173">
        <v>473.60000000000019</v>
      </c>
      <c r="U14" s="164">
        <v>713183.63554562454</v>
      </c>
    </row>
    <row r="15" spans="1:21" x14ac:dyDescent="0.25">
      <c r="A15" s="345"/>
      <c r="B15" s="346"/>
      <c r="C15" s="347"/>
      <c r="D15" s="193" t="s">
        <v>112</v>
      </c>
      <c r="E15" s="194">
        <v>-3.2659062319202126E-2</v>
      </c>
      <c r="F15" s="345"/>
      <c r="G15" s="346"/>
      <c r="H15" s="346"/>
      <c r="I15" s="346"/>
      <c r="J15" s="347"/>
      <c r="K15" s="153" t="s">
        <v>113</v>
      </c>
      <c r="L15" s="173">
        <v>288.99999999999989</v>
      </c>
      <c r="M15" s="164">
        <v>465859.22129512648</v>
      </c>
      <c r="N15" s="173">
        <v>317.89999999999992</v>
      </c>
      <c r="O15" s="164">
        <v>506738.77828861668</v>
      </c>
      <c r="P15" s="173">
        <v>346.80000000000007</v>
      </c>
      <c r="Q15" s="164">
        <v>547618.33528210677</v>
      </c>
      <c r="R15" s="173">
        <v>260.10000000000002</v>
      </c>
      <c r="S15" s="164">
        <v>424979.66430163651</v>
      </c>
      <c r="T15" s="173">
        <v>231.19999999999987</v>
      </c>
      <c r="U15" s="164">
        <v>384100.10730814637</v>
      </c>
    </row>
    <row r="16" spans="1:21" x14ac:dyDescent="0.25">
      <c r="A16" s="348"/>
      <c r="B16" s="349"/>
      <c r="C16" s="350"/>
      <c r="D16" s="195"/>
      <c r="E16" s="196"/>
      <c r="F16" s="348"/>
      <c r="G16" s="349"/>
      <c r="H16" s="349"/>
      <c r="I16" s="349"/>
      <c r="J16" s="350"/>
      <c r="K16" s="153" t="s">
        <v>114</v>
      </c>
      <c r="L16" s="173">
        <v>86</v>
      </c>
      <c r="M16" s="164">
        <v>238988.52729745689</v>
      </c>
      <c r="N16" s="173">
        <v>94.599999999999966</v>
      </c>
      <c r="O16" s="164">
        <v>251329.7404083017</v>
      </c>
      <c r="P16" s="173">
        <v>103.20000000000003</v>
      </c>
      <c r="Q16" s="164">
        <v>263670.95351914648</v>
      </c>
      <c r="R16" s="173">
        <v>77.400000000000048</v>
      </c>
      <c r="S16" s="164">
        <v>226647.31418661203</v>
      </c>
      <c r="T16" s="173">
        <v>68.799999999999983</v>
      </c>
      <c r="U16" s="164">
        <v>214306.10107576728</v>
      </c>
    </row>
    <row r="17" spans="1:21" x14ac:dyDescent="0.25">
      <c r="A17" s="197"/>
      <c r="B17" s="9"/>
      <c r="C17" s="9"/>
      <c r="D17" s="9"/>
      <c r="E17" s="198"/>
      <c r="F17" s="199"/>
      <c r="G17" s="9"/>
      <c r="H17" s="9"/>
      <c r="I17" s="9"/>
      <c r="J17" s="200"/>
      <c r="K17" s="153" t="s">
        <v>115</v>
      </c>
      <c r="L17" s="173">
        <v>6.0000000000000027</v>
      </c>
      <c r="M17" s="164">
        <v>179111.75052590555</v>
      </c>
      <c r="N17" s="173">
        <v>6.6000000000000192</v>
      </c>
      <c r="O17" s="164">
        <v>180013.21185314169</v>
      </c>
      <c r="P17" s="173">
        <v>7.2000000000000126</v>
      </c>
      <c r="Q17" s="164">
        <v>180914.67318037787</v>
      </c>
      <c r="R17" s="173">
        <v>5.4000000000000092</v>
      </c>
      <c r="S17" s="164">
        <v>178210.28919866937</v>
      </c>
      <c r="T17" s="173">
        <v>4.8000000000000096</v>
      </c>
      <c r="U17" s="164">
        <v>177308.82787143326</v>
      </c>
    </row>
    <row r="18" spans="1:21" ht="15.75" x14ac:dyDescent="0.25">
      <c r="A18" s="352" t="s">
        <v>116</v>
      </c>
      <c r="B18" s="353"/>
      <c r="C18" s="353"/>
      <c r="D18" s="353"/>
      <c r="E18" s="353"/>
      <c r="F18" s="353"/>
      <c r="G18" s="353"/>
      <c r="H18" s="353"/>
      <c r="I18" s="353"/>
      <c r="J18" s="354"/>
      <c r="K18" s="153" t="s">
        <v>117</v>
      </c>
      <c r="L18" s="173">
        <v>0</v>
      </c>
      <c r="M18" s="164">
        <v>165622.59458994481</v>
      </c>
      <c r="N18" s="173">
        <v>0</v>
      </c>
      <c r="O18" s="164">
        <v>165628.65703878039</v>
      </c>
      <c r="P18" s="173">
        <v>0</v>
      </c>
      <c r="Q18" s="164">
        <v>165634.71948761598</v>
      </c>
      <c r="R18" s="173">
        <v>0</v>
      </c>
      <c r="S18" s="164">
        <v>165616.53214110926</v>
      </c>
      <c r="T18" s="173">
        <v>0</v>
      </c>
      <c r="U18" s="164">
        <v>165610.46969227368</v>
      </c>
    </row>
    <row r="19" spans="1:21" x14ac:dyDescent="0.25">
      <c r="A19" s="152" t="s">
        <v>118</v>
      </c>
      <c r="B19" s="331" t="s">
        <v>119</v>
      </c>
      <c r="C19" s="332"/>
      <c r="D19" s="333"/>
      <c r="E19" s="152" t="s">
        <v>120</v>
      </c>
      <c r="F19" s="331" t="s">
        <v>121</v>
      </c>
      <c r="G19" s="334"/>
      <c r="H19" s="335"/>
      <c r="I19" s="335"/>
      <c r="J19" s="336"/>
      <c r="K19" s="153" t="s">
        <v>122</v>
      </c>
      <c r="L19" s="173">
        <v>0.99999999999999922</v>
      </c>
      <c r="M19" s="164">
        <v>177615.83211450174</v>
      </c>
      <c r="N19" s="173">
        <v>1.1000000000000001</v>
      </c>
      <c r="O19" s="164">
        <v>177753.67962072301</v>
      </c>
      <c r="P19" s="173">
        <v>1.1999999999999988</v>
      </c>
      <c r="Q19" s="164">
        <v>177891.52712694422</v>
      </c>
      <c r="R19" s="173">
        <v>0.8999999999999998</v>
      </c>
      <c r="S19" s="164">
        <v>177477.98460828047</v>
      </c>
      <c r="T19" s="173">
        <v>0.79999999999999949</v>
      </c>
      <c r="U19" s="164">
        <v>177340.13710205918</v>
      </c>
    </row>
    <row r="20" spans="1:21" x14ac:dyDescent="0.25">
      <c r="A20" s="201" t="s">
        <v>126</v>
      </c>
      <c r="B20" s="202" t="s">
        <v>160</v>
      </c>
      <c r="C20" s="203"/>
      <c r="D20" s="204"/>
      <c r="E20" s="164">
        <v>13500</v>
      </c>
      <c r="F20" s="205" t="s">
        <v>161</v>
      </c>
      <c r="G20" s="205"/>
      <c r="H20" s="205"/>
      <c r="I20" s="205"/>
      <c r="J20" s="206"/>
      <c r="K20" s="153" t="s">
        <v>125</v>
      </c>
      <c r="L20" s="173">
        <v>46</v>
      </c>
      <c r="M20" s="164">
        <v>222968.45861917094</v>
      </c>
      <c r="N20" s="173">
        <v>50.599999999999994</v>
      </c>
      <c r="O20" s="164">
        <v>229147.61986005923</v>
      </c>
      <c r="P20" s="173">
        <v>55.199999999999989</v>
      </c>
      <c r="Q20" s="164">
        <v>235326.78110094735</v>
      </c>
      <c r="R20" s="173">
        <v>41.400000000000006</v>
      </c>
      <c r="S20" s="164">
        <v>216789.29737828276</v>
      </c>
      <c r="T20" s="173">
        <v>36.799999999999997</v>
      </c>
      <c r="U20" s="164">
        <v>210610.13613739458</v>
      </c>
    </row>
    <row r="21" spans="1:21" x14ac:dyDescent="0.25">
      <c r="A21" s="207" t="s">
        <v>126</v>
      </c>
      <c r="B21" s="208" t="s">
        <v>162</v>
      </c>
      <c r="C21" s="209"/>
      <c r="D21" s="210"/>
      <c r="E21" s="164">
        <v>3000</v>
      </c>
      <c r="F21" s="205" t="s">
        <v>161</v>
      </c>
      <c r="G21" s="205"/>
      <c r="H21" s="205"/>
      <c r="I21" s="205"/>
      <c r="J21" s="206"/>
      <c r="K21" s="153" t="s">
        <v>127</v>
      </c>
      <c r="L21" s="173">
        <v>256</v>
      </c>
      <c r="M21" s="164">
        <v>364953.64132155321</v>
      </c>
      <c r="N21" s="173">
        <v>281.60000000000002</v>
      </c>
      <c r="O21" s="164">
        <v>400267.0263876199</v>
      </c>
      <c r="P21" s="173">
        <v>307.20000000000005</v>
      </c>
      <c r="Q21" s="164">
        <v>435580.41145368665</v>
      </c>
      <c r="R21" s="173">
        <v>230.39999999999998</v>
      </c>
      <c r="S21" s="164">
        <v>329640.25625548634</v>
      </c>
      <c r="T21" s="173">
        <v>204.8</v>
      </c>
      <c r="U21" s="164">
        <v>294326.87118941959</v>
      </c>
    </row>
    <row r="22" spans="1:21" x14ac:dyDescent="0.25">
      <c r="A22" s="207" t="s">
        <v>126</v>
      </c>
      <c r="B22" s="208" t="s">
        <v>163</v>
      </c>
      <c r="C22" s="209"/>
      <c r="D22" s="210"/>
      <c r="E22" s="164">
        <v>82000</v>
      </c>
      <c r="F22" s="205" t="s">
        <v>164</v>
      </c>
      <c r="G22" s="205"/>
      <c r="H22" s="205"/>
      <c r="I22" s="205"/>
      <c r="J22" s="206"/>
      <c r="K22" s="153" t="s">
        <v>39</v>
      </c>
      <c r="L22" s="173">
        <v>558</v>
      </c>
      <c r="M22" s="164">
        <v>737155.89640045073</v>
      </c>
      <c r="N22" s="173">
        <v>613.80000000000007</v>
      </c>
      <c r="O22" s="164">
        <v>807493.73150342586</v>
      </c>
      <c r="P22" s="173">
        <v>669.60000000000014</v>
      </c>
      <c r="Q22" s="164">
        <v>877831.56660640088</v>
      </c>
      <c r="R22" s="173">
        <v>502.20000000000005</v>
      </c>
      <c r="S22" s="164">
        <v>666818.06129747583</v>
      </c>
      <c r="T22" s="173">
        <v>446.40000000000015</v>
      </c>
      <c r="U22" s="164">
        <v>596480.22619450092</v>
      </c>
    </row>
    <row r="23" spans="1:21" x14ac:dyDescent="0.25">
      <c r="A23" s="207" t="s">
        <v>67</v>
      </c>
      <c r="B23" s="208" t="s">
        <v>140</v>
      </c>
      <c r="C23" s="209"/>
      <c r="D23" s="210"/>
      <c r="E23" s="164">
        <v>73270</v>
      </c>
      <c r="F23" s="205" t="s">
        <v>141</v>
      </c>
      <c r="G23" s="205"/>
      <c r="H23" s="205"/>
      <c r="I23" s="205"/>
      <c r="J23" s="206"/>
      <c r="K23" s="153" t="s">
        <v>40</v>
      </c>
      <c r="L23" s="173">
        <v>911.00000000000068</v>
      </c>
      <c r="M23" s="164">
        <v>1302206.3715590455</v>
      </c>
      <c r="N23" s="173">
        <v>1002.1000000000003</v>
      </c>
      <c r="O23" s="164">
        <v>1417422.0879108279</v>
      </c>
      <c r="P23" s="173">
        <v>1093.1999999999998</v>
      </c>
      <c r="Q23" s="164">
        <v>1532637.8042626097</v>
      </c>
      <c r="R23" s="173">
        <v>819.89999999999941</v>
      </c>
      <c r="S23" s="164">
        <v>1186990.655207264</v>
      </c>
      <c r="T23" s="173">
        <v>728.79999999999984</v>
      </c>
      <c r="U23" s="164">
        <v>1071774.9388554823</v>
      </c>
    </row>
    <row r="24" spans="1:21" x14ac:dyDescent="0.25">
      <c r="A24" s="207"/>
      <c r="B24" s="208"/>
      <c r="C24" s="209"/>
      <c r="D24" s="210"/>
      <c r="E24" s="164"/>
      <c r="F24" s="205" t="s">
        <v>142</v>
      </c>
      <c r="G24" s="205"/>
      <c r="H24" s="205"/>
      <c r="I24" s="205"/>
      <c r="J24" s="206"/>
      <c r="K24" s="211" t="s">
        <v>128</v>
      </c>
      <c r="L24" s="212">
        <v>4547.0000000000018</v>
      </c>
      <c r="M24" s="212">
        <v>7430276.2803996503</v>
      </c>
      <c r="N24" s="212">
        <v>5001.7000000000007</v>
      </c>
      <c r="O24" s="212">
        <v>8016071.20908383</v>
      </c>
      <c r="P24" s="212">
        <v>5456.4</v>
      </c>
      <c r="Q24" s="212">
        <v>8601866.1377680041</v>
      </c>
      <c r="R24" s="212">
        <v>4092.3</v>
      </c>
      <c r="S24" s="212">
        <v>6844481.3517154763</v>
      </c>
      <c r="T24" s="212">
        <v>3637.6000000000004</v>
      </c>
      <c r="U24" s="212">
        <v>6258686.4230313003</v>
      </c>
    </row>
    <row r="25" spans="1:21" x14ac:dyDescent="0.25">
      <c r="A25" s="207"/>
      <c r="B25" s="208"/>
      <c r="C25" s="209"/>
      <c r="D25" s="210"/>
      <c r="E25" s="164"/>
      <c r="F25" s="205" t="s">
        <v>143</v>
      </c>
      <c r="G25" s="205"/>
      <c r="H25" s="205"/>
      <c r="I25" s="205"/>
      <c r="J25" s="206"/>
      <c r="K25" s="211" t="s">
        <v>129</v>
      </c>
      <c r="L25" s="212">
        <v>3863.0000000000018</v>
      </c>
      <c r="M25" s="212">
        <v>5615156.2546359906</v>
      </c>
      <c r="N25" s="212">
        <v>4249.3000000000011</v>
      </c>
      <c r="O25" s="212">
        <v>6105192.4956265865</v>
      </c>
      <c r="P25" s="212">
        <v>4635.6000000000004</v>
      </c>
      <c r="Q25" s="212">
        <v>6595228.7366171777</v>
      </c>
      <c r="R25" s="212">
        <v>3476.7</v>
      </c>
      <c r="S25" s="212">
        <v>5125120.0136453994</v>
      </c>
      <c r="T25" s="212">
        <v>3090.3999999999996</v>
      </c>
      <c r="U25" s="212">
        <v>4635083.7726548072</v>
      </c>
    </row>
    <row r="26" spans="1:21" x14ac:dyDescent="0.25">
      <c r="A26" s="207" t="s">
        <v>126</v>
      </c>
      <c r="B26" s="208" t="s">
        <v>165</v>
      </c>
      <c r="C26" s="209"/>
      <c r="D26" s="210"/>
      <c r="E26" s="164">
        <v>4478</v>
      </c>
      <c r="F26" s="238" t="s">
        <v>187</v>
      </c>
      <c r="G26" s="238"/>
      <c r="H26" s="205"/>
      <c r="I26" s="205"/>
      <c r="J26" s="206"/>
      <c r="K26" s="213"/>
      <c r="L26" s="214"/>
      <c r="M26" s="214"/>
      <c r="N26" s="214"/>
      <c r="O26" s="214"/>
      <c r="P26" s="214"/>
      <c r="Q26" s="214"/>
      <c r="R26" s="214"/>
      <c r="S26" s="214"/>
      <c r="T26" s="214"/>
      <c r="U26" s="215"/>
    </row>
    <row r="27" spans="1:21" ht="15.75" x14ac:dyDescent="0.25">
      <c r="A27" s="207" t="s">
        <v>166</v>
      </c>
      <c r="B27" s="208" t="s">
        <v>188</v>
      </c>
      <c r="C27" s="209"/>
      <c r="D27" s="210"/>
      <c r="E27" s="164">
        <v>6000</v>
      </c>
      <c r="F27" s="205" t="s">
        <v>189</v>
      </c>
      <c r="G27" s="205"/>
      <c r="H27" s="205"/>
      <c r="I27" s="205"/>
      <c r="J27" s="206"/>
      <c r="K27" s="339" t="s">
        <v>130</v>
      </c>
      <c r="L27" s="340"/>
      <c r="M27" s="340"/>
      <c r="N27" s="340"/>
      <c r="O27" s="340"/>
      <c r="P27" s="340"/>
      <c r="Q27" s="340"/>
      <c r="R27" s="340"/>
      <c r="S27" s="340"/>
      <c r="T27" s="340"/>
      <c r="U27" s="341"/>
    </row>
    <row r="28" spans="1:21" x14ac:dyDescent="0.25">
      <c r="A28" s="207"/>
      <c r="B28" s="208"/>
      <c r="C28" s="209"/>
      <c r="D28" s="210"/>
      <c r="E28" s="164"/>
      <c r="F28" s="205"/>
      <c r="G28" s="205"/>
      <c r="H28" s="205"/>
      <c r="I28" s="205"/>
      <c r="J28" s="206"/>
      <c r="K28" s="181"/>
      <c r="L28" s="182" t="s">
        <v>95</v>
      </c>
      <c r="M28" s="183"/>
      <c r="N28" s="182" t="s">
        <v>96</v>
      </c>
      <c r="O28" s="183"/>
      <c r="P28" s="182" t="s">
        <v>97</v>
      </c>
      <c r="Q28" s="183"/>
      <c r="R28" s="182" t="s">
        <v>98</v>
      </c>
      <c r="S28" s="183"/>
      <c r="T28" s="182" t="s">
        <v>99</v>
      </c>
      <c r="U28" s="184"/>
    </row>
    <row r="29" spans="1:21" x14ac:dyDescent="0.25">
      <c r="A29" s="207"/>
      <c r="B29" s="208"/>
      <c r="C29" s="209"/>
      <c r="D29" s="210"/>
      <c r="E29" s="164"/>
      <c r="F29" s="205"/>
      <c r="G29" s="205"/>
      <c r="H29" s="205"/>
      <c r="I29" s="205"/>
      <c r="J29" s="206"/>
      <c r="K29" s="187" t="s">
        <v>105</v>
      </c>
      <c r="L29" s="151" t="s">
        <v>106</v>
      </c>
      <c r="M29" s="151" t="s">
        <v>38</v>
      </c>
      <c r="N29" s="151" t="s">
        <v>106</v>
      </c>
      <c r="O29" s="151" t="s">
        <v>38</v>
      </c>
      <c r="P29" s="151" t="s">
        <v>106</v>
      </c>
      <c r="Q29" s="151" t="s">
        <v>38</v>
      </c>
      <c r="R29" s="151" t="s">
        <v>106</v>
      </c>
      <c r="S29" s="151" t="s">
        <v>38</v>
      </c>
      <c r="T29" s="151" t="s">
        <v>106</v>
      </c>
      <c r="U29" s="151" t="s">
        <v>38</v>
      </c>
    </row>
    <row r="30" spans="1:21" x14ac:dyDescent="0.25">
      <c r="A30" s="216"/>
      <c r="B30" s="217"/>
      <c r="C30" s="218"/>
      <c r="D30" s="219"/>
      <c r="E30" s="220"/>
      <c r="F30" s="205"/>
      <c r="G30" s="205"/>
      <c r="H30" s="205"/>
      <c r="I30" s="205"/>
      <c r="J30" s="206"/>
      <c r="K30" s="153" t="s">
        <v>41</v>
      </c>
      <c r="L30" s="189">
        <v>1007.0000000000007</v>
      </c>
      <c r="M30" s="190">
        <v>14671.216428402364</v>
      </c>
      <c r="N30" s="189">
        <v>1107.7000000000003</v>
      </c>
      <c r="O30" s="190">
        <v>17170.083000213035</v>
      </c>
      <c r="P30" s="189">
        <v>1208.3999999999999</v>
      </c>
      <c r="Q30" s="190">
        <v>19668.949572023717</v>
      </c>
      <c r="R30" s="189">
        <v>906.30000000000007</v>
      </c>
      <c r="S30" s="190">
        <v>12172.349856591687</v>
      </c>
      <c r="T30" s="189">
        <v>805.59999999999945</v>
      </c>
      <c r="U30" s="190">
        <v>9673.4832847810212</v>
      </c>
    </row>
    <row r="31" spans="1:21" x14ac:dyDescent="0.25">
      <c r="A31" s="221"/>
      <c r="B31" s="222"/>
      <c r="C31" s="222"/>
      <c r="D31" s="222" t="s">
        <v>131</v>
      </c>
      <c r="E31" s="223">
        <v>182248</v>
      </c>
      <c r="F31" s="224"/>
      <c r="G31" s="224"/>
      <c r="H31" s="224"/>
      <c r="I31" s="224"/>
      <c r="J31" s="225"/>
      <c r="K31" s="153" t="s">
        <v>42</v>
      </c>
      <c r="L31" s="173">
        <v>795.00000000000011</v>
      </c>
      <c r="M31" s="164">
        <v>15778.302123487427</v>
      </c>
      <c r="N31" s="173">
        <v>874.50000000000023</v>
      </c>
      <c r="O31" s="164">
        <v>18021.768271876655</v>
      </c>
      <c r="P31" s="173">
        <v>954.00000000000011</v>
      </c>
      <c r="Q31" s="164">
        <v>20265.234420265879</v>
      </c>
      <c r="R31" s="173">
        <v>715.5</v>
      </c>
      <c r="S31" s="164">
        <v>13534.835975098202</v>
      </c>
      <c r="T31" s="173">
        <v>636</v>
      </c>
      <c r="U31" s="164">
        <v>11291.369826708975</v>
      </c>
    </row>
    <row r="32" spans="1:21" x14ac:dyDescent="0.25">
      <c r="A32" s="226"/>
      <c r="B32" s="227"/>
      <c r="C32" s="227"/>
      <c r="D32" s="228"/>
      <c r="E32" s="229"/>
      <c r="F32" s="230"/>
      <c r="G32" s="230"/>
      <c r="H32" s="230"/>
      <c r="I32" s="230"/>
      <c r="J32" s="231"/>
      <c r="K32" s="153" t="s">
        <v>43</v>
      </c>
      <c r="L32" s="173">
        <v>591.99999999999977</v>
      </c>
      <c r="M32" s="164">
        <v>13937.263853588533</v>
      </c>
      <c r="N32" s="173">
        <v>651.20000000000005</v>
      </c>
      <c r="O32" s="164">
        <v>15902.027830951698</v>
      </c>
      <c r="P32" s="173">
        <v>710.39999999999986</v>
      </c>
      <c r="Q32" s="164">
        <v>17866.791808314854</v>
      </c>
      <c r="R32" s="173">
        <v>532.80000000000018</v>
      </c>
      <c r="S32" s="164">
        <v>11972.499876225393</v>
      </c>
      <c r="T32" s="173">
        <v>473.60000000000019</v>
      </c>
      <c r="U32" s="164">
        <v>10007.735898862235</v>
      </c>
    </row>
    <row r="33" spans="1:21" ht="15.75" x14ac:dyDescent="0.25">
      <c r="A33" s="352" t="s">
        <v>132</v>
      </c>
      <c r="B33" s="353"/>
      <c r="C33" s="353"/>
      <c r="D33" s="353"/>
      <c r="E33" s="353"/>
      <c r="F33" s="353"/>
      <c r="G33" s="353"/>
      <c r="H33" s="353"/>
      <c r="I33" s="353"/>
      <c r="J33" s="354"/>
      <c r="K33" s="153" t="s">
        <v>113</v>
      </c>
      <c r="L33" s="173">
        <v>288.99999999999989</v>
      </c>
      <c r="M33" s="164">
        <v>12723.077383329663</v>
      </c>
      <c r="N33" s="173">
        <v>317.89999999999992</v>
      </c>
      <c r="O33" s="164">
        <v>13885.119513701899</v>
      </c>
      <c r="P33" s="173">
        <v>346.80000000000007</v>
      </c>
      <c r="Q33" s="164">
        <v>15047.161644074133</v>
      </c>
      <c r="R33" s="173">
        <v>260.10000000000002</v>
      </c>
      <c r="S33" s="164">
        <v>11561.035252957436</v>
      </c>
      <c r="T33" s="173">
        <v>231.19999999999987</v>
      </c>
      <c r="U33" s="164">
        <v>10398.993122585201</v>
      </c>
    </row>
    <row r="34" spans="1:21" x14ac:dyDescent="0.25">
      <c r="A34" s="152" t="s">
        <v>118</v>
      </c>
      <c r="B34" s="331" t="s">
        <v>119</v>
      </c>
      <c r="C34" s="332"/>
      <c r="D34" s="333"/>
      <c r="E34" s="152" t="s">
        <v>120</v>
      </c>
      <c r="F34" s="331" t="s">
        <v>121</v>
      </c>
      <c r="G34" s="334"/>
      <c r="H34" s="335"/>
      <c r="I34" s="335"/>
      <c r="J34" s="336"/>
      <c r="K34" s="153" t="s">
        <v>114</v>
      </c>
      <c r="L34" s="173">
        <v>86</v>
      </c>
      <c r="M34" s="164">
        <v>14531.530014142689</v>
      </c>
      <c r="N34" s="173">
        <v>94.599999999999966</v>
      </c>
      <c r="O34" s="164">
        <v>15073.109388995221</v>
      </c>
      <c r="P34" s="173">
        <v>103.20000000000003</v>
      </c>
      <c r="Q34" s="164">
        <v>15614.68876384776</v>
      </c>
      <c r="R34" s="173">
        <v>77.400000000000048</v>
      </c>
      <c r="S34" s="164">
        <v>13989.950639290157</v>
      </c>
      <c r="T34" s="173">
        <v>68.799999999999983</v>
      </c>
      <c r="U34" s="164">
        <v>13448.371264437621</v>
      </c>
    </row>
    <row r="35" spans="1:21" x14ac:dyDescent="0.25">
      <c r="A35" s="201"/>
      <c r="B35" s="202"/>
      <c r="C35" s="203"/>
      <c r="D35" s="232"/>
      <c r="E35" s="190"/>
      <c r="F35" s="233"/>
      <c r="G35" s="233"/>
      <c r="H35" s="233"/>
      <c r="I35" s="233"/>
      <c r="J35" s="234"/>
      <c r="K35" s="153" t="s">
        <v>115</v>
      </c>
      <c r="L35" s="173">
        <v>6.0000000000000027</v>
      </c>
      <c r="M35" s="164">
        <v>13246.744100219514</v>
      </c>
      <c r="N35" s="173">
        <v>6.6000000000000192</v>
      </c>
      <c r="O35" s="164">
        <v>13423.569382079046</v>
      </c>
      <c r="P35" s="173">
        <v>7.2000000000000126</v>
      </c>
      <c r="Q35" s="164">
        <v>13600.394663938589</v>
      </c>
      <c r="R35" s="173">
        <v>5.4000000000000092</v>
      </c>
      <c r="S35" s="164">
        <v>13069.918818359969</v>
      </c>
      <c r="T35" s="173">
        <v>4.8000000000000096</v>
      </c>
      <c r="U35" s="164">
        <v>12893.093536500424</v>
      </c>
    </row>
    <row r="36" spans="1:21" x14ac:dyDescent="0.25">
      <c r="A36" s="207"/>
      <c r="B36" s="208"/>
      <c r="C36" s="209"/>
      <c r="D36" s="235"/>
      <c r="E36" s="164"/>
      <c r="F36" s="205"/>
      <c r="G36" s="205"/>
      <c r="H36" s="205"/>
      <c r="I36" s="205"/>
      <c r="J36" s="206"/>
      <c r="K36" s="153" t="s">
        <v>117</v>
      </c>
      <c r="L36" s="173">
        <v>0</v>
      </c>
      <c r="M36" s="164">
        <v>13384.856371714393</v>
      </c>
      <c r="N36" s="173">
        <v>0</v>
      </c>
      <c r="O36" s="164">
        <v>13441.23365799477</v>
      </c>
      <c r="P36" s="173">
        <v>0</v>
      </c>
      <c r="Q36" s="164">
        <v>13497.610944275155</v>
      </c>
      <c r="R36" s="173">
        <v>0</v>
      </c>
      <c r="S36" s="164">
        <v>13328.479085434012</v>
      </c>
      <c r="T36" s="173">
        <v>0</v>
      </c>
      <c r="U36" s="164">
        <v>13272.101799153621</v>
      </c>
    </row>
    <row r="37" spans="1:21" x14ac:dyDescent="0.25">
      <c r="A37" s="207"/>
      <c r="B37" s="208"/>
      <c r="C37" s="209"/>
      <c r="D37" s="235"/>
      <c r="E37" s="164"/>
      <c r="F37" s="205"/>
      <c r="G37" s="205"/>
      <c r="H37" s="205"/>
      <c r="I37" s="205"/>
      <c r="J37" s="206"/>
      <c r="K37" s="153" t="s">
        <v>122</v>
      </c>
      <c r="L37" s="173">
        <v>0.99999999999999922</v>
      </c>
      <c r="M37" s="164">
        <v>13774.443282807426</v>
      </c>
      <c r="N37" s="173">
        <v>1.1000000000000001</v>
      </c>
      <c r="O37" s="164">
        <v>13792.957213452171</v>
      </c>
      <c r="P37" s="173">
        <v>1.1999999999999988</v>
      </c>
      <c r="Q37" s="164">
        <v>13811.471144096919</v>
      </c>
      <c r="R37" s="173">
        <v>0.8999999999999998</v>
      </c>
      <c r="S37" s="164">
        <v>13755.929352162686</v>
      </c>
      <c r="T37" s="173">
        <v>0.79999999999999949</v>
      </c>
      <c r="U37" s="164">
        <v>13737.415421517959</v>
      </c>
    </row>
    <row r="38" spans="1:21" x14ac:dyDescent="0.25">
      <c r="A38" s="207"/>
      <c r="B38" s="208"/>
      <c r="C38" s="209"/>
      <c r="D38" s="235"/>
      <c r="E38" s="164"/>
      <c r="F38" s="205"/>
      <c r="G38" s="205"/>
      <c r="H38" s="205"/>
      <c r="I38" s="205"/>
      <c r="J38" s="206"/>
      <c r="K38" s="153" t="s">
        <v>125</v>
      </c>
      <c r="L38" s="173">
        <v>46</v>
      </c>
      <c r="M38" s="164">
        <v>11128.769051759238</v>
      </c>
      <c r="N38" s="173">
        <v>50.599999999999994</v>
      </c>
      <c r="O38" s="164">
        <v>11188.58721963065</v>
      </c>
      <c r="P38" s="173">
        <v>55.199999999999989</v>
      </c>
      <c r="Q38" s="164">
        <v>11248.405387502056</v>
      </c>
      <c r="R38" s="173">
        <v>41.400000000000006</v>
      </c>
      <c r="S38" s="164">
        <v>11068.950883887828</v>
      </c>
      <c r="T38" s="173">
        <v>36.799999999999997</v>
      </c>
      <c r="U38" s="164">
        <v>11009.132716016436</v>
      </c>
    </row>
    <row r="39" spans="1:21" x14ac:dyDescent="0.25">
      <c r="A39" s="207"/>
      <c r="B39" s="208"/>
      <c r="C39" s="209"/>
      <c r="D39" s="235"/>
      <c r="E39" s="164"/>
      <c r="F39" s="205"/>
      <c r="G39" s="205"/>
      <c r="H39" s="205"/>
      <c r="I39" s="205"/>
      <c r="J39" s="206"/>
      <c r="K39" s="153" t="s">
        <v>127</v>
      </c>
      <c r="L39" s="173">
        <v>256</v>
      </c>
      <c r="M39" s="164">
        <v>11153.740735818423</v>
      </c>
      <c r="N39" s="173">
        <v>281.60000000000002</v>
      </c>
      <c r="O39" s="164">
        <v>11548.0441779947</v>
      </c>
      <c r="P39" s="173">
        <v>307.20000000000005</v>
      </c>
      <c r="Q39" s="164">
        <v>11942.347620170964</v>
      </c>
      <c r="R39" s="173">
        <v>230.39999999999998</v>
      </c>
      <c r="S39" s="164">
        <v>10759.437293642151</v>
      </c>
      <c r="T39" s="173">
        <v>204.8</v>
      </c>
      <c r="U39" s="164">
        <v>10365.133851465878</v>
      </c>
    </row>
    <row r="40" spans="1:21" x14ac:dyDescent="0.25">
      <c r="A40" s="207"/>
      <c r="B40" s="208"/>
      <c r="C40" s="209"/>
      <c r="D40" s="235"/>
      <c r="E40" s="164"/>
      <c r="F40" s="205"/>
      <c r="G40" s="205"/>
      <c r="H40" s="205"/>
      <c r="I40" s="205"/>
      <c r="J40" s="206"/>
      <c r="K40" s="153" t="s">
        <v>39</v>
      </c>
      <c r="L40" s="173">
        <v>558</v>
      </c>
      <c r="M40" s="164">
        <v>15733.289058695849</v>
      </c>
      <c r="N40" s="173">
        <v>613.80000000000007</v>
      </c>
      <c r="O40" s="164">
        <v>16767.517693317317</v>
      </c>
      <c r="P40" s="173">
        <v>669.60000000000014</v>
      </c>
      <c r="Q40" s="164">
        <v>17801.746327938774</v>
      </c>
      <c r="R40" s="173">
        <v>502.20000000000005</v>
      </c>
      <c r="S40" s="164">
        <v>14699.060424074394</v>
      </c>
      <c r="T40" s="173">
        <v>446.40000000000015</v>
      </c>
      <c r="U40" s="164">
        <v>13664.831789452932</v>
      </c>
    </row>
    <row r="41" spans="1:21" x14ac:dyDescent="0.25">
      <c r="A41" s="207"/>
      <c r="B41" s="208"/>
      <c r="C41" s="209"/>
      <c r="D41" s="235"/>
      <c r="E41" s="164"/>
      <c r="F41" s="205"/>
      <c r="G41" s="205"/>
      <c r="H41" s="205"/>
      <c r="I41" s="205"/>
      <c r="J41" s="206"/>
      <c r="K41" s="153" t="s">
        <v>40</v>
      </c>
      <c r="L41" s="173">
        <v>911.00000000000068</v>
      </c>
      <c r="M41" s="164">
        <v>15045.564240328093</v>
      </c>
      <c r="N41" s="173">
        <v>1002.1000000000003</v>
      </c>
      <c r="O41" s="164">
        <v>17012.811668629449</v>
      </c>
      <c r="P41" s="173">
        <v>1093.1999999999998</v>
      </c>
      <c r="Q41" s="164">
        <v>18980.059096930796</v>
      </c>
      <c r="R41" s="173">
        <v>819.89999999999941</v>
      </c>
      <c r="S41" s="164">
        <v>13078.316812026738</v>
      </c>
      <c r="T41" s="173">
        <v>728.79999999999984</v>
      </c>
      <c r="U41" s="164">
        <v>11111.069383725382</v>
      </c>
    </row>
    <row r="42" spans="1:21" x14ac:dyDescent="0.25">
      <c r="A42" s="207"/>
      <c r="B42" s="208"/>
      <c r="C42" s="209"/>
      <c r="D42" s="235"/>
      <c r="E42" s="164"/>
      <c r="F42" s="205"/>
      <c r="G42" s="205"/>
      <c r="H42" s="205"/>
      <c r="I42" s="205"/>
      <c r="J42" s="206"/>
      <c r="K42" s="211" t="s">
        <v>133</v>
      </c>
      <c r="L42" s="212">
        <v>4547.0000000000018</v>
      </c>
      <c r="M42" s="212">
        <v>165108.79664429362</v>
      </c>
      <c r="N42" s="212">
        <v>5001.7000000000007</v>
      </c>
      <c r="O42" s="212">
        <v>177226.82901883658</v>
      </c>
      <c r="P42" s="212">
        <v>5456.4</v>
      </c>
      <c r="Q42" s="212">
        <v>189344.86139337957</v>
      </c>
      <c r="R42" s="212">
        <v>4092.3</v>
      </c>
      <c r="S42" s="212">
        <v>152990.76426975068</v>
      </c>
      <c r="T42" s="212">
        <v>3637.6000000000004</v>
      </c>
      <c r="U42" s="212">
        <v>140872.73189520769</v>
      </c>
    </row>
    <row r="43" spans="1:21" x14ac:dyDescent="0.25">
      <c r="A43" s="207"/>
      <c r="B43" s="208"/>
      <c r="C43" s="209"/>
      <c r="D43" s="235"/>
      <c r="E43" s="164"/>
      <c r="F43" s="205"/>
      <c r="G43" s="205"/>
      <c r="H43" s="205"/>
      <c r="I43" s="205"/>
      <c r="J43" s="206"/>
      <c r="K43" s="211" t="s">
        <v>134</v>
      </c>
      <c r="L43" s="212">
        <v>3863.0000000000018</v>
      </c>
      <c r="M43" s="212">
        <v>75165.635704502274</v>
      </c>
      <c r="N43" s="212">
        <v>4249.3000000000011</v>
      </c>
      <c r="O43" s="212">
        <v>84874.208464988158</v>
      </c>
      <c r="P43" s="212">
        <v>4635.6000000000004</v>
      </c>
      <c r="Q43" s="212">
        <v>94582.781225474013</v>
      </c>
      <c r="R43" s="212">
        <v>3476.7</v>
      </c>
      <c r="S43" s="212">
        <v>65457.062944016412</v>
      </c>
      <c r="T43" s="212">
        <v>3090.3999999999996</v>
      </c>
      <c r="U43" s="212">
        <v>55748.49018353055</v>
      </c>
    </row>
    <row r="44" spans="1:21" x14ac:dyDescent="0.25">
      <c r="A44" s="207"/>
      <c r="B44" s="217"/>
      <c r="C44" s="218"/>
      <c r="D44" s="236"/>
      <c r="E44" s="220"/>
      <c r="F44" s="205"/>
      <c r="G44" s="205"/>
      <c r="H44" s="205"/>
      <c r="I44" s="205"/>
      <c r="J44" s="206"/>
      <c r="K44" s="211" t="s">
        <v>135</v>
      </c>
      <c r="L44" s="212">
        <v>4547.0000000000018</v>
      </c>
      <c r="M44" s="212">
        <v>7595385.077043944</v>
      </c>
      <c r="N44" s="212">
        <v>5001.7000000000007</v>
      </c>
      <c r="O44" s="212">
        <v>8193298.0381026668</v>
      </c>
      <c r="P44" s="212">
        <v>5456.4</v>
      </c>
      <c r="Q44" s="212">
        <v>8791210.9991613831</v>
      </c>
      <c r="R44" s="212">
        <v>4092.3</v>
      </c>
      <c r="S44" s="212">
        <v>6997472.1159852268</v>
      </c>
      <c r="T44" s="212">
        <v>3637.6000000000004</v>
      </c>
      <c r="U44" s="212">
        <v>6399559.1549265077</v>
      </c>
    </row>
    <row r="45" spans="1:21" x14ac:dyDescent="0.25">
      <c r="A45" s="221"/>
      <c r="B45" s="222"/>
      <c r="C45" s="222"/>
      <c r="D45" s="222" t="s">
        <v>136</v>
      </c>
      <c r="E45" s="223">
        <v>0</v>
      </c>
      <c r="F45" s="224"/>
      <c r="G45" s="224"/>
      <c r="H45" s="224"/>
      <c r="I45" s="224"/>
      <c r="J45" s="225"/>
      <c r="K45" s="211" t="s">
        <v>137</v>
      </c>
      <c r="L45" s="212">
        <v>3863.0000000000018</v>
      </c>
      <c r="M45" s="212">
        <v>5690321.8903404931</v>
      </c>
      <c r="N45" s="212">
        <v>4249.3000000000011</v>
      </c>
      <c r="O45" s="212">
        <v>6190066.704091575</v>
      </c>
      <c r="P45" s="212">
        <v>4635.6000000000004</v>
      </c>
      <c r="Q45" s="212">
        <v>6689811.5178426513</v>
      </c>
      <c r="R45" s="212">
        <v>3476.7</v>
      </c>
      <c r="S45" s="212">
        <v>5190577.0765894158</v>
      </c>
      <c r="T45" s="212">
        <v>3090.3999999999996</v>
      </c>
      <c r="U45" s="212">
        <v>4690832.2628383376</v>
      </c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phoneticPr fontId="13" type="noConversion"/>
  <conditionalFormatting sqref="J9">
    <cfRule type="cellIs" dxfId="7" priority="4" stopIfTrue="1" operator="greaterThanOrEqual">
      <formula>#REF!</formula>
    </cfRule>
  </conditionalFormatting>
  <conditionalFormatting sqref="J10">
    <cfRule type="cellIs" dxfId="6" priority="3" stopIfTrue="1" operator="greaterThanOrEqual">
      <formula>#REF!</formula>
    </cfRule>
  </conditionalFormatting>
  <conditionalFormatting sqref="H9">
    <cfRule type="cellIs" dxfId="5" priority="2" stopIfTrue="1" operator="greaterThanOrEqual">
      <formula>#REF!</formula>
    </cfRule>
  </conditionalFormatting>
  <conditionalFormatting sqref="F4:J4">
    <cfRule type="containsText" dxfId="4" priority="1" stopIfTrue="1" operator="containsText" text="PEAK DAY">
      <formula>NOT(ISERROR(SEARCH("PEAK DAY",F4)))</formula>
    </cfRule>
  </conditionalFormatting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="75" zoomScaleNormal="75" workbookViewId="0">
      <selection sqref="A1:IV65536"/>
    </sheetView>
  </sheetViews>
  <sheetFormatPr defaultColWidth="9.140625" defaultRowHeight="15" x14ac:dyDescent="0.25"/>
  <cols>
    <col min="1" max="1" width="26.7109375" style="237" customWidth="1"/>
    <col min="2" max="3" width="18.7109375" style="237" customWidth="1"/>
    <col min="4" max="4" width="27.7109375" style="237" customWidth="1"/>
    <col min="5" max="5" width="15.7109375" style="237" customWidth="1"/>
    <col min="6" max="7" width="12.7109375" style="237" customWidth="1"/>
    <col min="8" max="8" width="17.7109375" style="237" customWidth="1"/>
    <col min="9" max="10" width="15.7109375" style="237" customWidth="1"/>
    <col min="11" max="13" width="18.7109375" style="138" customWidth="1"/>
    <col min="14" max="21" width="15.85546875" style="138" customWidth="1"/>
    <col min="22" max="16384" width="9.140625" style="138"/>
  </cols>
  <sheetData>
    <row r="1" spans="1:21" ht="18" x14ac:dyDescent="0.25">
      <c r="A1" s="302" t="s">
        <v>18</v>
      </c>
      <c r="B1" s="303"/>
      <c r="C1" s="303"/>
      <c r="D1" s="303"/>
      <c r="E1" s="303"/>
      <c r="F1" s="303"/>
      <c r="G1" s="303"/>
      <c r="H1" s="303"/>
      <c r="I1" s="303"/>
      <c r="J1" s="304"/>
      <c r="K1" s="302" t="s">
        <v>18</v>
      </c>
      <c r="L1" s="303"/>
      <c r="M1" s="303"/>
      <c r="N1" s="303"/>
      <c r="O1" s="303"/>
      <c r="P1" s="303"/>
      <c r="Q1" s="303"/>
      <c r="R1" s="303"/>
      <c r="S1" s="303"/>
      <c r="T1" s="303"/>
      <c r="U1" s="304"/>
    </row>
    <row r="2" spans="1:21" ht="18" x14ac:dyDescent="0.25">
      <c r="A2" s="305" t="s">
        <v>170</v>
      </c>
      <c r="B2" s="306"/>
      <c r="C2" s="306"/>
      <c r="D2" s="306"/>
      <c r="E2" s="306"/>
      <c r="F2" s="306"/>
      <c r="G2" s="306"/>
      <c r="H2" s="306"/>
      <c r="I2" s="306"/>
      <c r="J2" s="307"/>
      <c r="K2" s="305" t="s">
        <v>171</v>
      </c>
      <c r="L2" s="306"/>
      <c r="M2" s="306"/>
      <c r="N2" s="306"/>
      <c r="O2" s="306"/>
      <c r="P2" s="306"/>
      <c r="Q2" s="306"/>
      <c r="R2" s="306"/>
      <c r="S2" s="306"/>
      <c r="T2" s="306"/>
      <c r="U2" s="307"/>
    </row>
    <row r="3" spans="1:21" x14ac:dyDescent="0.25">
      <c r="A3" s="139"/>
      <c r="B3" s="140"/>
      <c r="C3"/>
      <c r="D3" s="308" t="s">
        <v>194</v>
      </c>
      <c r="E3" s="308"/>
      <c r="F3" s="308"/>
      <c r="G3"/>
      <c r="H3" s="140"/>
      <c r="I3" s="140"/>
      <c r="J3" s="141"/>
      <c r="K3" s="139"/>
      <c r="L3" s="140"/>
      <c r="M3"/>
      <c r="N3" s="308" t="s">
        <v>194</v>
      </c>
      <c r="O3" s="308"/>
      <c r="P3" s="308"/>
      <c r="Q3" s="308"/>
      <c r="R3"/>
      <c r="S3"/>
      <c r="T3" s="140"/>
      <c r="U3" s="141"/>
    </row>
    <row r="4" spans="1:21" x14ac:dyDescent="0.25">
      <c r="A4" s="142"/>
      <c r="B4" s="143"/>
      <c r="C4" s="143"/>
      <c r="D4" s="143"/>
      <c r="E4" s="143"/>
      <c r="F4" s="309" t="s">
        <v>157</v>
      </c>
      <c r="G4" s="309"/>
      <c r="H4" s="309"/>
      <c r="I4" s="309"/>
      <c r="J4" s="310"/>
      <c r="K4" s="144"/>
      <c r="L4" s="145"/>
      <c r="M4" s="145"/>
      <c r="N4" s="145"/>
      <c r="O4" s="145"/>
      <c r="P4" s="145"/>
      <c r="Q4" s="145"/>
      <c r="R4" s="145"/>
      <c r="S4" s="145"/>
      <c r="T4" s="145"/>
      <c r="U4" s="146"/>
    </row>
    <row r="5" spans="1:21" ht="15" customHeight="1" x14ac:dyDescent="0.25">
      <c r="A5" s="147" t="s">
        <v>68</v>
      </c>
      <c r="B5" s="311" t="s">
        <v>66</v>
      </c>
      <c r="C5" s="312"/>
      <c r="D5" s="148" t="s">
        <v>69</v>
      </c>
      <c r="E5" s="149"/>
      <c r="F5" s="148" t="s">
        <v>70</v>
      </c>
      <c r="G5" s="150"/>
      <c r="H5" s="151" t="s">
        <v>71</v>
      </c>
      <c r="I5" s="152" t="s">
        <v>85</v>
      </c>
      <c r="J5" s="152"/>
      <c r="K5" s="147" t="s">
        <v>68</v>
      </c>
      <c r="L5" s="313" t="s">
        <v>66</v>
      </c>
      <c r="M5" s="314"/>
      <c r="N5" s="148" t="s">
        <v>72</v>
      </c>
      <c r="O5" s="150"/>
      <c r="P5" s="315" t="s">
        <v>195</v>
      </c>
      <c r="Q5" s="316"/>
      <c r="R5" s="316"/>
      <c r="S5" s="316"/>
      <c r="T5" s="316"/>
      <c r="U5" s="317"/>
    </row>
    <row r="6" spans="1:21" x14ac:dyDescent="0.25">
      <c r="A6" s="153" t="s">
        <v>73</v>
      </c>
      <c r="B6" s="324" t="s">
        <v>146</v>
      </c>
      <c r="C6" s="325"/>
      <c r="D6" s="154" t="s">
        <v>75</v>
      </c>
      <c r="E6" s="155">
        <v>0.97649924410908595</v>
      </c>
      <c r="F6" s="156" t="s">
        <v>76</v>
      </c>
      <c r="G6" s="157"/>
      <c r="H6" s="158">
        <v>73.5</v>
      </c>
      <c r="I6" s="159">
        <v>34353</v>
      </c>
      <c r="J6" s="160"/>
      <c r="K6" s="153" t="s">
        <v>73</v>
      </c>
      <c r="L6" s="326" t="s">
        <v>146</v>
      </c>
      <c r="M6" s="327"/>
      <c r="N6" s="161">
        <v>20301</v>
      </c>
      <c r="O6" s="162"/>
      <c r="P6" s="318"/>
      <c r="Q6" s="319"/>
      <c r="R6" s="319"/>
      <c r="S6" s="319"/>
      <c r="T6" s="319"/>
      <c r="U6" s="320"/>
    </row>
    <row r="7" spans="1:21" x14ac:dyDescent="0.25">
      <c r="A7" s="153" t="s">
        <v>78</v>
      </c>
      <c r="B7" s="328" t="s">
        <v>147</v>
      </c>
      <c r="C7" s="327"/>
      <c r="D7" s="163" t="s">
        <v>80</v>
      </c>
      <c r="E7" s="164">
        <v>449.72500089039801</v>
      </c>
      <c r="F7" s="156" t="s">
        <v>81</v>
      </c>
      <c r="G7" s="157"/>
      <c r="H7" s="165">
        <v>71.5</v>
      </c>
      <c r="I7" s="166">
        <v>34352</v>
      </c>
      <c r="J7" s="167"/>
      <c r="K7" s="168" t="s">
        <v>78</v>
      </c>
      <c r="L7" s="329" t="s">
        <v>147</v>
      </c>
      <c r="M7" s="330"/>
      <c r="N7" s="148"/>
      <c r="O7" s="150"/>
      <c r="P7" s="321"/>
      <c r="Q7" s="322"/>
      <c r="R7" s="322"/>
      <c r="S7" s="322"/>
      <c r="T7" s="322"/>
      <c r="U7" s="323"/>
    </row>
    <row r="8" spans="1:21" ht="15.75" x14ac:dyDescent="0.25">
      <c r="A8" s="153" t="s">
        <v>82</v>
      </c>
      <c r="B8" s="337" t="s">
        <v>65</v>
      </c>
      <c r="C8" s="338"/>
      <c r="D8" s="163" t="s">
        <v>83</v>
      </c>
      <c r="E8" s="164">
        <v>881.46100174518006</v>
      </c>
      <c r="F8" s="156"/>
      <c r="G8" s="157"/>
      <c r="H8" s="152" t="s">
        <v>84</v>
      </c>
      <c r="I8" s="169" t="s">
        <v>85</v>
      </c>
      <c r="J8" s="152" t="s">
        <v>86</v>
      </c>
      <c r="K8" s="170"/>
      <c r="L8" s="171"/>
      <c r="M8" s="171"/>
      <c r="N8" s="171"/>
      <c r="O8" s="171"/>
      <c r="P8" s="171"/>
      <c r="Q8" s="171"/>
      <c r="R8" s="171"/>
      <c r="S8" s="171"/>
      <c r="T8" s="171"/>
      <c r="U8" s="172"/>
    </row>
    <row r="9" spans="1:21" ht="15.75" x14ac:dyDescent="0.25">
      <c r="A9" s="153" t="s">
        <v>87</v>
      </c>
      <c r="B9" s="337" t="s">
        <v>77</v>
      </c>
      <c r="C9" s="338"/>
      <c r="D9" s="163" t="s">
        <v>88</v>
      </c>
      <c r="E9" s="173">
        <v>20301</v>
      </c>
      <c r="F9" s="156" t="s">
        <v>89</v>
      </c>
      <c r="G9" s="157"/>
      <c r="H9" s="165">
        <v>65.239999999999995</v>
      </c>
      <c r="I9" s="174">
        <v>41645</v>
      </c>
      <c r="J9" s="175">
        <v>17430</v>
      </c>
      <c r="K9" s="339" t="s">
        <v>90</v>
      </c>
      <c r="L9" s="340"/>
      <c r="M9" s="340"/>
      <c r="N9" s="340"/>
      <c r="O9" s="340"/>
      <c r="P9" s="340"/>
      <c r="Q9" s="340"/>
      <c r="R9" s="340"/>
      <c r="S9" s="340"/>
      <c r="T9" s="340"/>
      <c r="U9" s="341"/>
    </row>
    <row r="10" spans="1:21" x14ac:dyDescent="0.25">
      <c r="A10" s="153" t="s">
        <v>91</v>
      </c>
      <c r="B10" s="328" t="s">
        <v>92</v>
      </c>
      <c r="C10" s="327"/>
      <c r="D10" s="163" t="s">
        <v>93</v>
      </c>
      <c r="E10" s="164">
        <v>0</v>
      </c>
      <c r="F10" s="176" t="s">
        <v>94</v>
      </c>
      <c r="G10" s="177"/>
      <c r="H10" s="178">
        <v>65.239999999999995</v>
      </c>
      <c r="I10" s="179">
        <v>41645</v>
      </c>
      <c r="J10" s="180">
        <v>17430</v>
      </c>
      <c r="K10" s="181"/>
      <c r="L10" s="182" t="s">
        <v>95</v>
      </c>
      <c r="M10" s="183"/>
      <c r="N10" s="182" t="s">
        <v>96</v>
      </c>
      <c r="O10" s="183"/>
      <c r="P10" s="182" t="s">
        <v>97</v>
      </c>
      <c r="Q10" s="183"/>
      <c r="R10" s="182" t="s">
        <v>98</v>
      </c>
      <c r="S10" s="183"/>
      <c r="T10" s="182" t="s">
        <v>99</v>
      </c>
      <c r="U10" s="184"/>
    </row>
    <row r="11" spans="1:21" ht="15" customHeight="1" x14ac:dyDescent="0.25">
      <c r="A11" s="342" t="s">
        <v>196</v>
      </c>
      <c r="B11" s="343"/>
      <c r="C11" s="344"/>
      <c r="D11" s="185" t="s">
        <v>100</v>
      </c>
      <c r="E11" s="186">
        <v>20301</v>
      </c>
      <c r="F11" s="148" t="s">
        <v>101</v>
      </c>
      <c r="G11" s="150"/>
      <c r="H11" s="151" t="s">
        <v>102</v>
      </c>
      <c r="I11" s="152" t="s">
        <v>103</v>
      </c>
      <c r="J11" s="152" t="s">
        <v>104</v>
      </c>
      <c r="K11" s="187" t="s">
        <v>105</v>
      </c>
      <c r="L11" s="151" t="s">
        <v>106</v>
      </c>
      <c r="M11" s="151" t="s">
        <v>38</v>
      </c>
      <c r="N11" s="151" t="s">
        <v>106</v>
      </c>
      <c r="O11" s="151" t="s">
        <v>38</v>
      </c>
      <c r="P11" s="151" t="s">
        <v>106</v>
      </c>
      <c r="Q11" s="151" t="s">
        <v>38</v>
      </c>
      <c r="R11" s="151" t="s">
        <v>106</v>
      </c>
      <c r="S11" s="151" t="s">
        <v>38</v>
      </c>
      <c r="T11" s="151" t="s">
        <v>106</v>
      </c>
      <c r="U11" s="151" t="s">
        <v>38</v>
      </c>
    </row>
    <row r="12" spans="1:21" x14ac:dyDescent="0.25">
      <c r="A12" s="345"/>
      <c r="B12" s="346"/>
      <c r="C12" s="347"/>
      <c r="D12" s="149" t="s">
        <v>107</v>
      </c>
      <c r="E12" s="188"/>
      <c r="F12" s="147" t="s">
        <v>108</v>
      </c>
      <c r="G12" s="147"/>
      <c r="H12" s="121">
        <v>1130825.517396827</v>
      </c>
      <c r="I12" s="121">
        <v>0</v>
      </c>
      <c r="J12" s="121">
        <v>1130825.517396827</v>
      </c>
      <c r="K12" s="153" t="s">
        <v>41</v>
      </c>
      <c r="L12" s="189">
        <v>932.99999999999966</v>
      </c>
      <c r="M12" s="190">
        <v>244595.77822872828</v>
      </c>
      <c r="N12" s="189">
        <v>1026.2999999999993</v>
      </c>
      <c r="O12" s="190">
        <v>266544.8745744027</v>
      </c>
      <c r="P12" s="189">
        <v>1119.6000000000004</v>
      </c>
      <c r="Q12" s="190">
        <v>288493.97092007706</v>
      </c>
      <c r="R12" s="189">
        <v>839.70000000000016</v>
      </c>
      <c r="S12" s="190">
        <v>222646.68188305388</v>
      </c>
      <c r="T12" s="189">
        <v>746.40000000000032</v>
      </c>
      <c r="U12" s="190">
        <v>200697.58553737946</v>
      </c>
    </row>
    <row r="13" spans="1:21" x14ac:dyDescent="0.25">
      <c r="A13" s="345"/>
      <c r="B13" s="346"/>
      <c r="C13" s="347"/>
      <c r="D13" s="191" t="s">
        <v>109</v>
      </c>
      <c r="E13" s="190">
        <v>20350</v>
      </c>
      <c r="F13" s="157" t="s">
        <v>110</v>
      </c>
      <c r="G13" s="153"/>
      <c r="H13" s="192">
        <v>892632.87947926763</v>
      </c>
      <c r="I13" s="192">
        <v>0</v>
      </c>
      <c r="J13" s="192">
        <v>892632.87947926763</v>
      </c>
      <c r="K13" s="153" t="s">
        <v>42</v>
      </c>
      <c r="L13" s="173">
        <v>732.00000000000023</v>
      </c>
      <c r="M13" s="164">
        <v>187294.64024523599</v>
      </c>
      <c r="N13" s="173">
        <v>805.20000000000039</v>
      </c>
      <c r="O13" s="164">
        <v>204579.39392171317</v>
      </c>
      <c r="P13" s="173">
        <v>878.4000000000002</v>
      </c>
      <c r="Q13" s="164">
        <v>221864.14759819052</v>
      </c>
      <c r="R13" s="173">
        <v>658.80000000000018</v>
      </c>
      <c r="S13" s="164">
        <v>170009.88656875875</v>
      </c>
      <c r="T13" s="173">
        <v>585.59999999999991</v>
      </c>
      <c r="U13" s="164">
        <v>152725.13289228146</v>
      </c>
    </row>
    <row r="14" spans="1:21" ht="15" customHeight="1" x14ac:dyDescent="0.25">
      <c r="A14" s="345"/>
      <c r="B14" s="346"/>
      <c r="C14" s="347"/>
      <c r="D14" s="193" t="s">
        <v>111</v>
      </c>
      <c r="E14" s="164">
        <v>49</v>
      </c>
      <c r="F14" s="351" t="s">
        <v>197</v>
      </c>
      <c r="G14" s="343"/>
      <c r="H14" s="343"/>
      <c r="I14" s="343"/>
      <c r="J14" s="344"/>
      <c r="K14" s="153" t="s">
        <v>43</v>
      </c>
      <c r="L14" s="173">
        <v>538</v>
      </c>
      <c r="M14" s="164">
        <v>144196.03206219734</v>
      </c>
      <c r="N14" s="173">
        <v>591.79999999999984</v>
      </c>
      <c r="O14" s="164">
        <v>156946.4851136698</v>
      </c>
      <c r="P14" s="173">
        <v>645.59999999999991</v>
      </c>
      <c r="Q14" s="164">
        <v>169696.93816514229</v>
      </c>
      <c r="R14" s="173">
        <v>484.2</v>
      </c>
      <c r="S14" s="164">
        <v>131445.5790107249</v>
      </c>
      <c r="T14" s="173">
        <v>430.39999999999992</v>
      </c>
      <c r="U14" s="164">
        <v>118695.1259592524</v>
      </c>
    </row>
    <row r="15" spans="1:21" x14ac:dyDescent="0.25">
      <c r="A15" s="345"/>
      <c r="B15" s="346"/>
      <c r="C15" s="347"/>
      <c r="D15" s="193" t="s">
        <v>112</v>
      </c>
      <c r="E15" s="194">
        <v>2.4136742032412196E-3</v>
      </c>
      <c r="F15" s="345"/>
      <c r="G15" s="346"/>
      <c r="H15" s="346"/>
      <c r="I15" s="346"/>
      <c r="J15" s="347"/>
      <c r="K15" s="153" t="s">
        <v>113</v>
      </c>
      <c r="L15" s="173">
        <v>246</v>
      </c>
      <c r="M15" s="164">
        <v>67672.620289974933</v>
      </c>
      <c r="N15" s="173">
        <v>270.60000000000014</v>
      </c>
      <c r="O15" s="164">
        <v>73930.310184246206</v>
      </c>
      <c r="P15" s="173">
        <v>295.20000000000005</v>
      </c>
      <c r="Q15" s="164">
        <v>80188.000078517478</v>
      </c>
      <c r="R15" s="173">
        <v>221.40000000000006</v>
      </c>
      <c r="S15" s="164">
        <v>61414.930395703654</v>
      </c>
      <c r="T15" s="173">
        <v>196.79999999999998</v>
      </c>
      <c r="U15" s="164">
        <v>55157.240501432374</v>
      </c>
    </row>
    <row r="16" spans="1:21" x14ac:dyDescent="0.25">
      <c r="A16" s="348"/>
      <c r="B16" s="349"/>
      <c r="C16" s="350"/>
      <c r="D16" s="195"/>
      <c r="E16" s="196"/>
      <c r="F16" s="348"/>
      <c r="G16" s="349"/>
      <c r="H16" s="349"/>
      <c r="I16" s="349"/>
      <c r="J16" s="350"/>
      <c r="K16" s="153" t="s">
        <v>114</v>
      </c>
      <c r="L16" s="173">
        <v>66.999999999999972</v>
      </c>
      <c r="M16" s="164">
        <v>34781.255613280104</v>
      </c>
      <c r="N16" s="173">
        <v>73.699999999999918</v>
      </c>
      <c r="O16" s="164">
        <v>36507.718869905606</v>
      </c>
      <c r="P16" s="173">
        <v>80.400000000000048</v>
      </c>
      <c r="Q16" s="164">
        <v>38234.182126531094</v>
      </c>
      <c r="R16" s="173">
        <v>60.30000000000004</v>
      </c>
      <c r="S16" s="164">
        <v>33054.792356654601</v>
      </c>
      <c r="T16" s="173">
        <v>53.600000000000009</v>
      </c>
      <c r="U16" s="164">
        <v>31328.329100029117</v>
      </c>
    </row>
    <row r="17" spans="1:21" x14ac:dyDescent="0.25">
      <c r="A17" s="197"/>
      <c r="B17" s="9"/>
      <c r="C17" s="9"/>
      <c r="D17" s="9"/>
      <c r="E17" s="198"/>
      <c r="F17" s="199"/>
      <c r="G17" s="9"/>
      <c r="H17" s="9"/>
      <c r="I17" s="9"/>
      <c r="J17" s="200"/>
      <c r="K17" s="153" t="s">
        <v>115</v>
      </c>
      <c r="L17" s="173">
        <v>4.9999999999999956</v>
      </c>
      <c r="M17" s="164">
        <v>21836.034417460662</v>
      </c>
      <c r="N17" s="173">
        <v>5.4999999999999929</v>
      </c>
      <c r="O17" s="164">
        <v>21972.80500478642</v>
      </c>
      <c r="P17" s="173">
        <v>6.0000000000000018</v>
      </c>
      <c r="Q17" s="164">
        <v>22109.575592112189</v>
      </c>
      <c r="R17" s="173">
        <v>4.4999999999999982</v>
      </c>
      <c r="S17" s="164">
        <v>21699.263830134889</v>
      </c>
      <c r="T17" s="173">
        <v>3.9999999999999996</v>
      </c>
      <c r="U17" s="164">
        <v>21562.493242809131</v>
      </c>
    </row>
    <row r="18" spans="1:21" ht="15.75" x14ac:dyDescent="0.25">
      <c r="A18" s="352" t="s">
        <v>116</v>
      </c>
      <c r="B18" s="353"/>
      <c r="C18" s="353"/>
      <c r="D18" s="353"/>
      <c r="E18" s="353"/>
      <c r="F18" s="353"/>
      <c r="G18" s="353"/>
      <c r="H18" s="353"/>
      <c r="I18" s="353"/>
      <c r="J18" s="354"/>
      <c r="K18" s="153" t="s">
        <v>117</v>
      </c>
      <c r="L18" s="173">
        <v>0</v>
      </c>
      <c r="M18" s="164">
        <v>20304.275425604865</v>
      </c>
      <c r="N18" s="173">
        <v>0</v>
      </c>
      <c r="O18" s="164">
        <v>20305.992435114651</v>
      </c>
      <c r="P18" s="173">
        <v>0</v>
      </c>
      <c r="Q18" s="164">
        <v>20307.709444624441</v>
      </c>
      <c r="R18" s="173">
        <v>0</v>
      </c>
      <c r="S18" s="164">
        <v>20302.558416095086</v>
      </c>
      <c r="T18" s="173">
        <v>0</v>
      </c>
      <c r="U18" s="164">
        <v>20300.841406585307</v>
      </c>
    </row>
    <row r="19" spans="1:21" x14ac:dyDescent="0.25">
      <c r="A19" s="152" t="s">
        <v>118</v>
      </c>
      <c r="B19" s="331" t="s">
        <v>119</v>
      </c>
      <c r="C19" s="332"/>
      <c r="D19" s="333"/>
      <c r="E19" s="152" t="s">
        <v>120</v>
      </c>
      <c r="F19" s="331" t="s">
        <v>121</v>
      </c>
      <c r="G19" s="334"/>
      <c r="H19" s="335"/>
      <c r="I19" s="335"/>
      <c r="J19" s="336"/>
      <c r="K19" s="153" t="s">
        <v>122</v>
      </c>
      <c r="L19" s="173">
        <v>0</v>
      </c>
      <c r="M19" s="164">
        <v>20758.74746328027</v>
      </c>
      <c r="N19" s="173">
        <v>0</v>
      </c>
      <c r="O19" s="164">
        <v>20758.747463280979</v>
      </c>
      <c r="P19" s="173">
        <v>0</v>
      </c>
      <c r="Q19" s="164">
        <v>20758.747463281692</v>
      </c>
      <c r="R19" s="173">
        <v>0</v>
      </c>
      <c r="S19" s="164">
        <v>20758.74746327956</v>
      </c>
      <c r="T19" s="173">
        <v>0</v>
      </c>
      <c r="U19" s="164">
        <v>20758.747463278851</v>
      </c>
    </row>
    <row r="20" spans="1:21" x14ac:dyDescent="0.25">
      <c r="A20" s="201" t="s">
        <v>126</v>
      </c>
      <c r="B20" s="202" t="s">
        <v>167</v>
      </c>
      <c r="C20" s="203"/>
      <c r="D20" s="204"/>
      <c r="E20" s="164">
        <v>3500</v>
      </c>
      <c r="F20" s="205" t="s">
        <v>161</v>
      </c>
      <c r="G20" s="205"/>
      <c r="H20" s="205"/>
      <c r="I20" s="205"/>
      <c r="J20" s="206"/>
      <c r="K20" s="153" t="s">
        <v>125</v>
      </c>
      <c r="L20" s="173">
        <v>29.999999999999993</v>
      </c>
      <c r="M20" s="164">
        <v>26109.892608440958</v>
      </c>
      <c r="N20" s="173">
        <v>33</v>
      </c>
      <c r="O20" s="164">
        <v>26822.758543857766</v>
      </c>
      <c r="P20" s="173">
        <v>36.000000000000007</v>
      </c>
      <c r="Q20" s="164">
        <v>27535.624479274578</v>
      </c>
      <c r="R20" s="173">
        <v>27.000000000000007</v>
      </c>
      <c r="S20" s="164">
        <v>25397.026673024156</v>
      </c>
      <c r="T20" s="173">
        <v>24.000000000000004</v>
      </c>
      <c r="U20" s="164">
        <v>24684.160737607352</v>
      </c>
    </row>
    <row r="21" spans="1:21" x14ac:dyDescent="0.25">
      <c r="A21" s="207" t="s">
        <v>126</v>
      </c>
      <c r="B21" s="208" t="s">
        <v>168</v>
      </c>
      <c r="C21" s="209"/>
      <c r="D21" s="210"/>
      <c r="E21" s="164">
        <v>13500</v>
      </c>
      <c r="F21" s="205" t="s">
        <v>164</v>
      </c>
      <c r="G21" s="205"/>
      <c r="H21" s="205"/>
      <c r="I21" s="205"/>
      <c r="J21" s="206"/>
      <c r="K21" s="153" t="s">
        <v>127</v>
      </c>
      <c r="L21" s="173">
        <v>212</v>
      </c>
      <c r="M21" s="164">
        <v>46729.812099517389</v>
      </c>
      <c r="N21" s="173">
        <v>233.20000000000005</v>
      </c>
      <c r="O21" s="164">
        <v>51940.287457084531</v>
      </c>
      <c r="P21" s="173">
        <v>254.40000000000003</v>
      </c>
      <c r="Q21" s="164">
        <v>57150.762814651658</v>
      </c>
      <c r="R21" s="173">
        <v>190.79999999999998</v>
      </c>
      <c r="S21" s="164">
        <v>41519.336741950247</v>
      </c>
      <c r="T21" s="173">
        <v>169.6</v>
      </c>
      <c r="U21" s="164">
        <v>36308.861384383112</v>
      </c>
    </row>
    <row r="22" spans="1:21" x14ac:dyDescent="0.25">
      <c r="A22" s="207" t="s">
        <v>126</v>
      </c>
      <c r="B22" s="208" t="s">
        <v>169</v>
      </c>
      <c r="C22" s="209"/>
      <c r="D22" s="210"/>
      <c r="E22" s="164">
        <v>1500</v>
      </c>
      <c r="F22" s="205" t="s">
        <v>161</v>
      </c>
      <c r="G22" s="205"/>
      <c r="H22" s="205"/>
      <c r="I22" s="205"/>
      <c r="J22" s="206"/>
      <c r="K22" s="153" t="s">
        <v>39</v>
      </c>
      <c r="L22" s="173">
        <v>493.00000000000023</v>
      </c>
      <c r="M22" s="164">
        <v>113399.37548126426</v>
      </c>
      <c r="N22" s="173">
        <v>542.29999999999995</v>
      </c>
      <c r="O22" s="164">
        <v>124889.97882520917</v>
      </c>
      <c r="P22" s="173">
        <v>591.60000000000014</v>
      </c>
      <c r="Q22" s="164">
        <v>136380.58216915399</v>
      </c>
      <c r="R22" s="173">
        <v>443.70000000000016</v>
      </c>
      <c r="S22" s="164">
        <v>101908.77213731942</v>
      </c>
      <c r="T22" s="173">
        <v>394.39999999999986</v>
      </c>
      <c r="U22" s="164">
        <v>90418.1687933746</v>
      </c>
    </row>
    <row r="23" spans="1:21" x14ac:dyDescent="0.25">
      <c r="A23" s="207" t="s">
        <v>126</v>
      </c>
      <c r="B23" s="208" t="s">
        <v>165</v>
      </c>
      <c r="C23" s="209"/>
      <c r="D23" s="210"/>
      <c r="E23" s="164">
        <v>1850</v>
      </c>
      <c r="F23" s="205" t="s">
        <v>198</v>
      </c>
      <c r="G23" s="205"/>
      <c r="H23" s="205"/>
      <c r="I23" s="205"/>
      <c r="J23" s="206"/>
      <c r="K23" s="153" t="s">
        <v>40</v>
      </c>
      <c r="L23" s="173">
        <v>840.99999999999943</v>
      </c>
      <c r="M23" s="164">
        <v>203147.05346184174</v>
      </c>
      <c r="N23" s="173">
        <v>925.10000000000025</v>
      </c>
      <c r="O23" s="164">
        <v>222843.72798827221</v>
      </c>
      <c r="P23" s="173">
        <v>1009.1999999999994</v>
      </c>
      <c r="Q23" s="164">
        <v>242540.40251470261</v>
      </c>
      <c r="R23" s="173">
        <v>756.90000000000009</v>
      </c>
      <c r="S23" s="164">
        <v>183450.37893541125</v>
      </c>
      <c r="T23" s="173">
        <v>672.8</v>
      </c>
      <c r="U23" s="164">
        <v>163753.70440898088</v>
      </c>
    </row>
    <row r="24" spans="1:21" x14ac:dyDescent="0.25">
      <c r="A24" s="207"/>
      <c r="B24" s="208"/>
      <c r="C24" s="209"/>
      <c r="D24" s="210"/>
      <c r="E24" s="164"/>
      <c r="F24" s="205"/>
      <c r="G24" s="205"/>
      <c r="H24" s="205"/>
      <c r="I24" s="205"/>
      <c r="J24" s="206"/>
      <c r="K24" s="211" t="s">
        <v>128</v>
      </c>
      <c r="L24" s="212">
        <v>4096.9999999999991</v>
      </c>
      <c r="M24" s="212">
        <v>1130825.517396827</v>
      </c>
      <c r="N24" s="212">
        <v>4506.7</v>
      </c>
      <c r="O24" s="212">
        <v>1228043.0803815434</v>
      </c>
      <c r="P24" s="212">
        <v>4916.3999999999996</v>
      </c>
      <c r="Q24" s="212">
        <v>1325260.6433662598</v>
      </c>
      <c r="R24" s="212">
        <v>3687.3000000000011</v>
      </c>
      <c r="S24" s="212">
        <v>1033607.9544121104</v>
      </c>
      <c r="T24" s="212">
        <v>3277.6000000000004</v>
      </c>
      <c r="U24" s="212">
        <v>936390.39142739389</v>
      </c>
    </row>
    <row r="25" spans="1:21" x14ac:dyDescent="0.25">
      <c r="A25" s="207"/>
      <c r="B25" s="208"/>
      <c r="C25" s="209"/>
      <c r="D25" s="210"/>
      <c r="E25" s="164"/>
      <c r="F25" s="205"/>
      <c r="G25" s="205"/>
      <c r="H25" s="205"/>
      <c r="I25" s="205"/>
      <c r="J25" s="206"/>
      <c r="K25" s="211" t="s">
        <v>129</v>
      </c>
      <c r="L25" s="212">
        <v>3536.9999999999995</v>
      </c>
      <c r="M25" s="212">
        <v>892632.87947926763</v>
      </c>
      <c r="N25" s="212">
        <v>3890.7</v>
      </c>
      <c r="O25" s="212">
        <v>975804.4604232671</v>
      </c>
      <c r="P25" s="212">
        <v>4244.3999999999996</v>
      </c>
      <c r="Q25" s="212">
        <v>1058976.0413672663</v>
      </c>
      <c r="R25" s="212">
        <v>3183.3000000000006</v>
      </c>
      <c r="S25" s="212">
        <v>809461.29853526817</v>
      </c>
      <c r="T25" s="212">
        <v>2829.6000000000004</v>
      </c>
      <c r="U25" s="212">
        <v>726289.71759126883</v>
      </c>
    </row>
    <row r="26" spans="1:21" x14ac:dyDescent="0.25">
      <c r="A26" s="207"/>
      <c r="B26" s="208"/>
      <c r="C26" s="209"/>
      <c r="D26" s="210"/>
      <c r="E26" s="164"/>
      <c r="F26" s="205"/>
      <c r="G26" s="205"/>
      <c r="H26" s="205"/>
      <c r="I26" s="205"/>
      <c r="J26" s="206"/>
      <c r="K26" s="213"/>
      <c r="L26" s="214"/>
      <c r="M26" s="214"/>
      <c r="N26" s="214"/>
      <c r="O26" s="214"/>
      <c r="P26" s="214"/>
      <c r="Q26" s="214"/>
      <c r="R26" s="214"/>
      <c r="S26" s="214"/>
      <c r="T26" s="214"/>
      <c r="U26" s="215"/>
    </row>
    <row r="27" spans="1:21" ht="15.75" x14ac:dyDescent="0.25">
      <c r="A27" s="207"/>
      <c r="B27" s="208"/>
      <c r="C27" s="209"/>
      <c r="D27" s="210"/>
      <c r="E27" s="164"/>
      <c r="F27" s="205"/>
      <c r="G27" s="205"/>
      <c r="H27" s="205"/>
      <c r="I27" s="205"/>
      <c r="J27" s="206"/>
      <c r="K27" s="339" t="s">
        <v>130</v>
      </c>
      <c r="L27" s="340"/>
      <c r="M27" s="340"/>
      <c r="N27" s="340"/>
      <c r="O27" s="340"/>
      <c r="P27" s="340"/>
      <c r="Q27" s="340"/>
      <c r="R27" s="340"/>
      <c r="S27" s="340"/>
      <c r="T27" s="340"/>
      <c r="U27" s="341"/>
    </row>
    <row r="28" spans="1:21" x14ac:dyDescent="0.25">
      <c r="A28" s="207"/>
      <c r="B28" s="208"/>
      <c r="C28" s="209"/>
      <c r="D28" s="210"/>
      <c r="E28" s="164"/>
      <c r="F28" s="205"/>
      <c r="G28" s="205"/>
      <c r="H28" s="205"/>
      <c r="I28" s="205"/>
      <c r="J28" s="206"/>
      <c r="K28" s="181"/>
      <c r="L28" s="182" t="s">
        <v>95</v>
      </c>
      <c r="M28" s="183"/>
      <c r="N28" s="182" t="s">
        <v>96</v>
      </c>
      <c r="O28" s="183"/>
      <c r="P28" s="182" t="s">
        <v>97</v>
      </c>
      <c r="Q28" s="183"/>
      <c r="R28" s="182" t="s">
        <v>98</v>
      </c>
      <c r="S28" s="183"/>
      <c r="T28" s="182" t="s">
        <v>99</v>
      </c>
      <c r="U28" s="184"/>
    </row>
    <row r="29" spans="1:21" x14ac:dyDescent="0.25">
      <c r="A29" s="207"/>
      <c r="B29" s="208"/>
      <c r="C29" s="209"/>
      <c r="D29" s="210"/>
      <c r="E29" s="164"/>
      <c r="F29" s="205"/>
      <c r="G29" s="205"/>
      <c r="H29" s="205"/>
      <c r="I29" s="205"/>
      <c r="J29" s="206"/>
      <c r="K29" s="187" t="s">
        <v>105</v>
      </c>
      <c r="L29" s="151" t="s">
        <v>106</v>
      </c>
      <c r="M29" s="151" t="s">
        <v>38</v>
      </c>
      <c r="N29" s="151" t="s">
        <v>106</v>
      </c>
      <c r="O29" s="151" t="s">
        <v>38</v>
      </c>
      <c r="P29" s="151" t="s">
        <v>106</v>
      </c>
      <c r="Q29" s="151" t="s">
        <v>38</v>
      </c>
      <c r="R29" s="151" t="s">
        <v>106</v>
      </c>
      <c r="S29" s="151" t="s">
        <v>38</v>
      </c>
      <c r="T29" s="151" t="s">
        <v>106</v>
      </c>
      <c r="U29" s="151" t="s">
        <v>38</v>
      </c>
    </row>
    <row r="30" spans="1:21" x14ac:dyDescent="0.25">
      <c r="A30" s="216"/>
      <c r="B30" s="217"/>
      <c r="C30" s="218"/>
      <c r="D30" s="219"/>
      <c r="E30" s="220"/>
      <c r="F30" s="205"/>
      <c r="G30" s="205"/>
      <c r="H30" s="205"/>
      <c r="I30" s="205"/>
      <c r="J30" s="206"/>
      <c r="K30" s="153" t="s">
        <v>41</v>
      </c>
      <c r="L30" s="189">
        <v>932.99999999999966</v>
      </c>
      <c r="M30" s="190">
        <v>0</v>
      </c>
      <c r="N30" s="189">
        <v>1026.2999999999993</v>
      </c>
      <c r="O30" s="190">
        <v>0</v>
      </c>
      <c r="P30" s="189">
        <v>1119.6000000000004</v>
      </c>
      <c r="Q30" s="190">
        <v>0</v>
      </c>
      <c r="R30" s="189">
        <v>839.70000000000016</v>
      </c>
      <c r="S30" s="190">
        <v>0</v>
      </c>
      <c r="T30" s="189">
        <v>746.40000000000032</v>
      </c>
      <c r="U30" s="190">
        <v>0</v>
      </c>
    </row>
    <row r="31" spans="1:21" x14ac:dyDescent="0.25">
      <c r="A31" s="221"/>
      <c r="B31" s="222"/>
      <c r="C31" s="222"/>
      <c r="D31" s="222" t="s">
        <v>131</v>
      </c>
      <c r="E31" s="223">
        <v>20350</v>
      </c>
      <c r="F31" s="224"/>
      <c r="G31" s="224"/>
      <c r="H31" s="224"/>
      <c r="I31" s="224"/>
      <c r="J31" s="225"/>
      <c r="K31" s="153" t="s">
        <v>42</v>
      </c>
      <c r="L31" s="173">
        <v>732.00000000000023</v>
      </c>
      <c r="M31" s="164">
        <v>0</v>
      </c>
      <c r="N31" s="173">
        <v>805.20000000000039</v>
      </c>
      <c r="O31" s="164">
        <v>0</v>
      </c>
      <c r="P31" s="173">
        <v>878.4000000000002</v>
      </c>
      <c r="Q31" s="164">
        <v>0</v>
      </c>
      <c r="R31" s="173">
        <v>658.80000000000018</v>
      </c>
      <c r="S31" s="164">
        <v>0</v>
      </c>
      <c r="T31" s="173">
        <v>585.59999999999991</v>
      </c>
      <c r="U31" s="164">
        <v>0</v>
      </c>
    </row>
    <row r="32" spans="1:21" x14ac:dyDescent="0.25">
      <c r="A32" s="226"/>
      <c r="B32" s="227"/>
      <c r="C32" s="227"/>
      <c r="D32" s="228"/>
      <c r="E32" s="229"/>
      <c r="F32" s="230"/>
      <c r="G32" s="230"/>
      <c r="H32" s="230"/>
      <c r="I32" s="230"/>
      <c r="J32" s="231"/>
      <c r="K32" s="153" t="s">
        <v>43</v>
      </c>
      <c r="L32" s="173">
        <v>538</v>
      </c>
      <c r="M32" s="164">
        <v>0</v>
      </c>
      <c r="N32" s="173">
        <v>591.79999999999984</v>
      </c>
      <c r="O32" s="164">
        <v>0</v>
      </c>
      <c r="P32" s="173">
        <v>645.59999999999991</v>
      </c>
      <c r="Q32" s="164">
        <v>0</v>
      </c>
      <c r="R32" s="173">
        <v>484.2</v>
      </c>
      <c r="S32" s="164">
        <v>0</v>
      </c>
      <c r="T32" s="173">
        <v>430.39999999999992</v>
      </c>
      <c r="U32" s="164">
        <v>0</v>
      </c>
    </row>
    <row r="33" spans="1:21" ht="15.75" x14ac:dyDescent="0.25">
      <c r="A33" s="352" t="s">
        <v>132</v>
      </c>
      <c r="B33" s="353"/>
      <c r="C33" s="353"/>
      <c r="D33" s="353"/>
      <c r="E33" s="353"/>
      <c r="F33" s="353"/>
      <c r="G33" s="353"/>
      <c r="H33" s="353"/>
      <c r="I33" s="353"/>
      <c r="J33" s="354"/>
      <c r="K33" s="153" t="s">
        <v>113</v>
      </c>
      <c r="L33" s="173">
        <v>246</v>
      </c>
      <c r="M33" s="164">
        <v>0</v>
      </c>
      <c r="N33" s="173">
        <v>270.60000000000014</v>
      </c>
      <c r="O33" s="164">
        <v>0</v>
      </c>
      <c r="P33" s="173">
        <v>295.20000000000005</v>
      </c>
      <c r="Q33" s="164">
        <v>0</v>
      </c>
      <c r="R33" s="173">
        <v>221.40000000000006</v>
      </c>
      <c r="S33" s="164">
        <v>0</v>
      </c>
      <c r="T33" s="173">
        <v>196.79999999999998</v>
      </c>
      <c r="U33" s="164">
        <v>0</v>
      </c>
    </row>
    <row r="34" spans="1:21" x14ac:dyDescent="0.25">
      <c r="A34" s="152" t="s">
        <v>118</v>
      </c>
      <c r="B34" s="331" t="s">
        <v>119</v>
      </c>
      <c r="C34" s="332"/>
      <c r="D34" s="333"/>
      <c r="E34" s="152" t="s">
        <v>120</v>
      </c>
      <c r="F34" s="331" t="s">
        <v>121</v>
      </c>
      <c r="G34" s="334"/>
      <c r="H34" s="335"/>
      <c r="I34" s="335"/>
      <c r="J34" s="336"/>
      <c r="K34" s="153" t="s">
        <v>114</v>
      </c>
      <c r="L34" s="173">
        <v>66.999999999999972</v>
      </c>
      <c r="M34" s="164">
        <v>0</v>
      </c>
      <c r="N34" s="173">
        <v>73.699999999999918</v>
      </c>
      <c r="O34" s="164">
        <v>0</v>
      </c>
      <c r="P34" s="173">
        <v>80.400000000000048</v>
      </c>
      <c r="Q34" s="164">
        <v>0</v>
      </c>
      <c r="R34" s="173">
        <v>60.30000000000004</v>
      </c>
      <c r="S34" s="164">
        <v>0</v>
      </c>
      <c r="T34" s="173">
        <v>53.600000000000009</v>
      </c>
      <c r="U34" s="164">
        <v>0</v>
      </c>
    </row>
    <row r="35" spans="1:21" x14ac:dyDescent="0.25">
      <c r="A35" s="201"/>
      <c r="B35" s="202"/>
      <c r="C35" s="203"/>
      <c r="D35" s="232"/>
      <c r="E35" s="190"/>
      <c r="F35" s="233"/>
      <c r="G35" s="233"/>
      <c r="H35" s="233"/>
      <c r="I35" s="233"/>
      <c r="J35" s="234"/>
      <c r="K35" s="153" t="s">
        <v>115</v>
      </c>
      <c r="L35" s="173">
        <v>4.9999999999999956</v>
      </c>
      <c r="M35" s="164">
        <v>0</v>
      </c>
      <c r="N35" s="173">
        <v>5.4999999999999929</v>
      </c>
      <c r="O35" s="164">
        <v>0</v>
      </c>
      <c r="P35" s="173">
        <v>6.0000000000000018</v>
      </c>
      <c r="Q35" s="164">
        <v>0</v>
      </c>
      <c r="R35" s="173">
        <v>4.4999999999999982</v>
      </c>
      <c r="S35" s="164">
        <v>0</v>
      </c>
      <c r="T35" s="173">
        <v>3.9999999999999996</v>
      </c>
      <c r="U35" s="164">
        <v>0</v>
      </c>
    </row>
    <row r="36" spans="1:21" x14ac:dyDescent="0.25">
      <c r="A36" s="207"/>
      <c r="B36" s="208"/>
      <c r="C36" s="209"/>
      <c r="D36" s="235"/>
      <c r="E36" s="164"/>
      <c r="F36" s="205"/>
      <c r="G36" s="205"/>
      <c r="H36" s="205"/>
      <c r="I36" s="205"/>
      <c r="J36" s="206"/>
      <c r="K36" s="153" t="s">
        <v>117</v>
      </c>
      <c r="L36" s="173">
        <v>0</v>
      </c>
      <c r="M36" s="164">
        <v>0</v>
      </c>
      <c r="N36" s="173">
        <v>0</v>
      </c>
      <c r="O36" s="164">
        <v>0</v>
      </c>
      <c r="P36" s="173">
        <v>0</v>
      </c>
      <c r="Q36" s="164">
        <v>0</v>
      </c>
      <c r="R36" s="173">
        <v>0</v>
      </c>
      <c r="S36" s="164">
        <v>0</v>
      </c>
      <c r="T36" s="173">
        <v>0</v>
      </c>
      <c r="U36" s="164">
        <v>0</v>
      </c>
    </row>
    <row r="37" spans="1:21" x14ac:dyDescent="0.25">
      <c r="A37" s="207"/>
      <c r="B37" s="208"/>
      <c r="C37" s="209"/>
      <c r="D37" s="235"/>
      <c r="E37" s="164"/>
      <c r="F37" s="205"/>
      <c r="G37" s="205"/>
      <c r="H37" s="205"/>
      <c r="I37" s="205"/>
      <c r="J37" s="206"/>
      <c r="K37" s="153" t="s">
        <v>122</v>
      </c>
      <c r="L37" s="173">
        <v>0</v>
      </c>
      <c r="M37" s="164">
        <v>0</v>
      </c>
      <c r="N37" s="173">
        <v>0</v>
      </c>
      <c r="O37" s="164">
        <v>0</v>
      </c>
      <c r="P37" s="173">
        <v>0</v>
      </c>
      <c r="Q37" s="164">
        <v>0</v>
      </c>
      <c r="R37" s="173">
        <v>0</v>
      </c>
      <c r="S37" s="164">
        <v>0</v>
      </c>
      <c r="T37" s="173">
        <v>0</v>
      </c>
      <c r="U37" s="164">
        <v>0</v>
      </c>
    </row>
    <row r="38" spans="1:21" x14ac:dyDescent="0.25">
      <c r="A38" s="207"/>
      <c r="B38" s="208"/>
      <c r="C38" s="209"/>
      <c r="D38" s="235"/>
      <c r="E38" s="164"/>
      <c r="F38" s="205"/>
      <c r="G38" s="205"/>
      <c r="H38" s="205"/>
      <c r="I38" s="205"/>
      <c r="J38" s="206"/>
      <c r="K38" s="153" t="s">
        <v>125</v>
      </c>
      <c r="L38" s="173">
        <v>29.999999999999993</v>
      </c>
      <c r="M38" s="164">
        <v>0</v>
      </c>
      <c r="N38" s="173">
        <v>33</v>
      </c>
      <c r="O38" s="164">
        <v>0</v>
      </c>
      <c r="P38" s="173">
        <v>36.000000000000007</v>
      </c>
      <c r="Q38" s="164">
        <v>0</v>
      </c>
      <c r="R38" s="173">
        <v>27.000000000000007</v>
      </c>
      <c r="S38" s="164">
        <v>0</v>
      </c>
      <c r="T38" s="173">
        <v>24.000000000000004</v>
      </c>
      <c r="U38" s="164">
        <v>0</v>
      </c>
    </row>
    <row r="39" spans="1:21" x14ac:dyDescent="0.25">
      <c r="A39" s="207"/>
      <c r="B39" s="208"/>
      <c r="C39" s="209"/>
      <c r="D39" s="235"/>
      <c r="E39" s="164"/>
      <c r="F39" s="205"/>
      <c r="G39" s="205"/>
      <c r="H39" s="205"/>
      <c r="I39" s="205"/>
      <c r="J39" s="206"/>
      <c r="K39" s="153" t="s">
        <v>127</v>
      </c>
      <c r="L39" s="173">
        <v>212</v>
      </c>
      <c r="M39" s="164">
        <v>0</v>
      </c>
      <c r="N39" s="173">
        <v>233.20000000000005</v>
      </c>
      <c r="O39" s="164">
        <v>0</v>
      </c>
      <c r="P39" s="173">
        <v>254.40000000000003</v>
      </c>
      <c r="Q39" s="164">
        <v>0</v>
      </c>
      <c r="R39" s="173">
        <v>190.79999999999998</v>
      </c>
      <c r="S39" s="164">
        <v>0</v>
      </c>
      <c r="T39" s="173">
        <v>169.6</v>
      </c>
      <c r="U39" s="164">
        <v>0</v>
      </c>
    </row>
    <row r="40" spans="1:21" x14ac:dyDescent="0.25">
      <c r="A40" s="207"/>
      <c r="B40" s="208"/>
      <c r="C40" s="209"/>
      <c r="D40" s="235"/>
      <c r="E40" s="164"/>
      <c r="F40" s="205"/>
      <c r="G40" s="205"/>
      <c r="H40" s="205"/>
      <c r="I40" s="205"/>
      <c r="J40" s="206"/>
      <c r="K40" s="153" t="s">
        <v>39</v>
      </c>
      <c r="L40" s="173">
        <v>493.00000000000023</v>
      </c>
      <c r="M40" s="164">
        <v>0</v>
      </c>
      <c r="N40" s="173">
        <v>542.29999999999995</v>
      </c>
      <c r="O40" s="164">
        <v>0</v>
      </c>
      <c r="P40" s="173">
        <v>591.60000000000014</v>
      </c>
      <c r="Q40" s="164">
        <v>0</v>
      </c>
      <c r="R40" s="173">
        <v>443.70000000000016</v>
      </c>
      <c r="S40" s="164">
        <v>0</v>
      </c>
      <c r="T40" s="173">
        <v>394.39999999999986</v>
      </c>
      <c r="U40" s="164">
        <v>0</v>
      </c>
    </row>
    <row r="41" spans="1:21" x14ac:dyDescent="0.25">
      <c r="A41" s="207"/>
      <c r="B41" s="208"/>
      <c r="C41" s="209"/>
      <c r="D41" s="235"/>
      <c r="E41" s="164"/>
      <c r="F41" s="205"/>
      <c r="G41" s="205"/>
      <c r="H41" s="205"/>
      <c r="I41" s="205"/>
      <c r="J41" s="206"/>
      <c r="K41" s="153" t="s">
        <v>40</v>
      </c>
      <c r="L41" s="173">
        <v>840.99999999999943</v>
      </c>
      <c r="M41" s="164">
        <v>0</v>
      </c>
      <c r="N41" s="173">
        <v>925.10000000000025</v>
      </c>
      <c r="O41" s="164">
        <v>0</v>
      </c>
      <c r="P41" s="173">
        <v>1009.1999999999994</v>
      </c>
      <c r="Q41" s="164">
        <v>0</v>
      </c>
      <c r="R41" s="173">
        <v>756.90000000000009</v>
      </c>
      <c r="S41" s="164">
        <v>0</v>
      </c>
      <c r="T41" s="173">
        <v>672.8</v>
      </c>
      <c r="U41" s="164">
        <v>0</v>
      </c>
    </row>
    <row r="42" spans="1:21" x14ac:dyDescent="0.25">
      <c r="A42" s="207"/>
      <c r="B42" s="208"/>
      <c r="C42" s="209"/>
      <c r="D42" s="235"/>
      <c r="E42" s="164"/>
      <c r="F42" s="205"/>
      <c r="G42" s="205"/>
      <c r="H42" s="205"/>
      <c r="I42" s="205"/>
      <c r="J42" s="206"/>
      <c r="K42" s="211" t="s">
        <v>133</v>
      </c>
      <c r="L42" s="212">
        <v>4096.9999999999991</v>
      </c>
      <c r="M42" s="212">
        <v>0</v>
      </c>
      <c r="N42" s="212">
        <v>4506.7</v>
      </c>
      <c r="O42" s="212">
        <v>0</v>
      </c>
      <c r="P42" s="212">
        <v>4916.3999999999996</v>
      </c>
      <c r="Q42" s="212">
        <v>0</v>
      </c>
      <c r="R42" s="212">
        <v>3687.3000000000011</v>
      </c>
      <c r="S42" s="212">
        <v>0</v>
      </c>
      <c r="T42" s="212">
        <v>3277.6000000000004</v>
      </c>
      <c r="U42" s="212">
        <v>0</v>
      </c>
    </row>
    <row r="43" spans="1:21" x14ac:dyDescent="0.25">
      <c r="A43" s="207"/>
      <c r="B43" s="208"/>
      <c r="C43" s="209"/>
      <c r="D43" s="235"/>
      <c r="E43" s="164"/>
      <c r="F43" s="205"/>
      <c r="G43" s="205"/>
      <c r="H43" s="205"/>
      <c r="I43" s="205"/>
      <c r="J43" s="206"/>
      <c r="K43" s="211" t="s">
        <v>134</v>
      </c>
      <c r="L43" s="212">
        <v>3536.9999999999995</v>
      </c>
      <c r="M43" s="212">
        <v>0</v>
      </c>
      <c r="N43" s="212">
        <v>3890.7</v>
      </c>
      <c r="O43" s="212">
        <v>0</v>
      </c>
      <c r="P43" s="212">
        <v>4244.3999999999996</v>
      </c>
      <c r="Q43" s="212">
        <v>0</v>
      </c>
      <c r="R43" s="212">
        <v>3183.3000000000006</v>
      </c>
      <c r="S43" s="212">
        <v>0</v>
      </c>
      <c r="T43" s="212">
        <v>2829.6000000000004</v>
      </c>
      <c r="U43" s="212">
        <v>0</v>
      </c>
    </row>
    <row r="44" spans="1:21" x14ac:dyDescent="0.25">
      <c r="A44" s="207"/>
      <c r="B44" s="217"/>
      <c r="C44" s="218"/>
      <c r="D44" s="236"/>
      <c r="E44" s="220"/>
      <c r="F44" s="205"/>
      <c r="G44" s="205"/>
      <c r="H44" s="205"/>
      <c r="I44" s="205"/>
      <c r="J44" s="206"/>
      <c r="K44" s="211" t="s">
        <v>135</v>
      </c>
      <c r="L44" s="212">
        <v>4096.9999999999991</v>
      </c>
      <c r="M44" s="212">
        <v>1130825.517396827</v>
      </c>
      <c r="N44" s="212">
        <v>4506.7</v>
      </c>
      <c r="O44" s="212">
        <v>1228043.0803815434</v>
      </c>
      <c r="P44" s="212">
        <v>4916.3999999999996</v>
      </c>
      <c r="Q44" s="212">
        <v>1325260.6433662598</v>
      </c>
      <c r="R44" s="212">
        <v>3687.3000000000011</v>
      </c>
      <c r="S44" s="212">
        <v>1033607.9544121104</v>
      </c>
      <c r="T44" s="212">
        <v>3277.6000000000004</v>
      </c>
      <c r="U44" s="212">
        <v>936390.39142739389</v>
      </c>
    </row>
    <row r="45" spans="1:21" x14ac:dyDescent="0.25">
      <c r="A45" s="221"/>
      <c r="B45" s="222"/>
      <c r="C45" s="222"/>
      <c r="D45" s="222" t="s">
        <v>136</v>
      </c>
      <c r="E45" s="223">
        <v>0</v>
      </c>
      <c r="F45" s="224"/>
      <c r="G45" s="224"/>
      <c r="H45" s="224"/>
      <c r="I45" s="224"/>
      <c r="J45" s="225"/>
      <c r="K45" s="211" t="s">
        <v>137</v>
      </c>
      <c r="L45" s="212">
        <v>3536.9999999999995</v>
      </c>
      <c r="M45" s="212">
        <v>892632.87947926763</v>
      </c>
      <c r="N45" s="212">
        <v>3890.7</v>
      </c>
      <c r="O45" s="212">
        <v>975804.4604232671</v>
      </c>
      <c r="P45" s="212">
        <v>4244.3999999999996</v>
      </c>
      <c r="Q45" s="212">
        <v>1058976.0413672663</v>
      </c>
      <c r="R45" s="212">
        <v>3183.3000000000006</v>
      </c>
      <c r="S45" s="212">
        <v>809461.29853526817</v>
      </c>
      <c r="T45" s="212">
        <v>2829.6000000000004</v>
      </c>
      <c r="U45" s="212">
        <v>726289.71759126883</v>
      </c>
    </row>
  </sheetData>
  <mergeCells count="27"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  <mergeCell ref="F4:J4"/>
    <mergeCell ref="B5:C5"/>
    <mergeCell ref="L5:M5"/>
    <mergeCell ref="P5:U7"/>
    <mergeCell ref="B6:C6"/>
    <mergeCell ref="L6:M6"/>
    <mergeCell ref="B7:C7"/>
    <mergeCell ref="L7:M7"/>
    <mergeCell ref="A1:J1"/>
    <mergeCell ref="K1:U1"/>
    <mergeCell ref="A2:J2"/>
    <mergeCell ref="K2:U2"/>
    <mergeCell ref="D3:F3"/>
    <mergeCell ref="N3:Q3"/>
  </mergeCells>
  <phoneticPr fontId="13" type="noConversion"/>
  <conditionalFormatting sqref="J9">
    <cfRule type="cellIs" dxfId="3" priority="4" stopIfTrue="1" operator="greaterThanOrEqual">
      <formula>#REF!</formula>
    </cfRule>
  </conditionalFormatting>
  <conditionalFormatting sqref="J10">
    <cfRule type="cellIs" dxfId="2" priority="3" stopIfTrue="1" operator="greaterThanOrEqual">
      <formula>#REF!</formula>
    </cfRule>
  </conditionalFormatting>
  <conditionalFormatting sqref="H9">
    <cfRule type="cellIs" dxfId="1" priority="2" stopIfTrue="1" operator="greaterThanOrEqual">
      <formula>#REF!</formula>
    </cfRule>
  </conditionalFormatting>
  <conditionalFormatting sqref="F4:J4">
    <cfRule type="containsText" dxfId="0" priority="1" stopIfTrue="1" operator="containsText" text="PEAK DAY">
      <formula>NOT(ISERROR(SEARCH("PEAK DAY",F4)))</formula>
    </cfRule>
  </conditionalFormatting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Winter</vt:lpstr>
      <vt:lpstr>NNS Ratchets</vt:lpstr>
      <vt:lpstr>Co-owned storage ratchets</vt:lpstr>
      <vt:lpstr>Tx Gas Zn 2 14-15 Design Day</vt:lpstr>
      <vt:lpstr>Livermore, KY 14-15 Design Day</vt:lpstr>
      <vt:lpstr>Tx Gas Zn 3 S 14-15 Design Day </vt:lpstr>
      <vt:lpstr>Tx Gas Zn 3 N 14-15 Design Day</vt:lpstr>
      <vt:lpstr>Tx Gas Zn 4 14-15 Design Day</vt:lpstr>
      <vt:lpstr>Sheet1</vt:lpstr>
      <vt:lpstr>Winter!Print_Area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kgriffit</dc:creator>
  <cp:lastModifiedBy>Eric  Wilen</cp:lastModifiedBy>
  <cp:lastPrinted>2015-12-03T20:15:07Z</cp:lastPrinted>
  <dcterms:created xsi:type="dcterms:W3CDTF">2011-02-02T19:49:36Z</dcterms:created>
  <dcterms:modified xsi:type="dcterms:W3CDTF">2015-12-03T20:15:08Z</dcterms:modified>
</cp:coreProperties>
</file>